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tabRatio="799" activeTab="0"/>
  </bookViews>
  <sheets>
    <sheet name="Assumptions" sheetId="1" r:id="rId1"/>
    <sheet name="BS 36-month Projection" sheetId="2" r:id="rId2"/>
    <sheet name="IS 36-month Projection" sheetId="3" r:id="rId3"/>
    <sheet name="CF 36-month Projection" sheetId="4" r:id="rId4"/>
    <sheet name="AR Portfolio Growth" sheetId="5" state="hidden" r:id="rId5"/>
    <sheet name="P&amp;I Pmts-new notes" sheetId="6" state="hidden" r:id="rId6"/>
    <sheet name="P&amp;I Pmts-previous notes" sheetId="7" state="hidden" r:id="rId7"/>
    <sheet name="Net Loss Dollars P12B" sheetId="8" state="hidden" r:id="rId8"/>
  </sheets>
  <externalReferences>
    <externalReference r:id="rId11"/>
  </externalReferences>
  <definedNames>
    <definedName name="_Key1" hidden="1">#REF!</definedName>
    <definedName name="_Order1" hidden="1">0</definedName>
    <definedName name="_Order2" hidden="1">0</definedName>
    <definedName name="AIBRD">#REF!</definedName>
    <definedName name="APRIL">#REF!</definedName>
    <definedName name="AUGUST">#REF!</definedName>
    <definedName name="CHEMICAL">#REF!</definedName>
    <definedName name="CROPINS">#REF!</definedName>
    <definedName name="CROPSALE">#REF!</definedName>
    <definedName name="CUSTHIRE">#REF!</definedName>
    <definedName name="DECEMBER">#REF!</definedName>
    <definedName name="DIRLABOR">#REF!</definedName>
    <definedName name="FEBRUARY">#REF!</definedName>
    <definedName name="FERT">#REF!</definedName>
    <definedName name="GOVPAY">#REF!</definedName>
    <definedName name="HEALTHBRD">#REF!</definedName>
    <definedName name="HEALTHGF">#REF!</definedName>
    <definedName name="IRRENG">#REF!</definedName>
    <definedName name="JANUARY">#REF!</definedName>
    <definedName name="JULY">#REF!</definedName>
    <definedName name="JUNE">#REF!</definedName>
    <definedName name="LSALESPC">#REF!</definedName>
    <definedName name="LSALESPH">#REF!</definedName>
    <definedName name="MARCH">#REF!</definedName>
    <definedName name="MAY">#REF!</definedName>
    <definedName name="MRKTBRD">#REF!</definedName>
    <definedName name="MRKTGF">#REF!</definedName>
    <definedName name="NOVEMBER">#REF!</definedName>
    <definedName name="OCTOBER">#REF!</definedName>
    <definedName name="PACKSUPP">#REF!</definedName>
    <definedName name="PCGFCWT">#REF!</definedName>
    <definedName name="PCGFHEAD">#REF!</definedName>
    <definedName name="PFBRD">#REF!</definedName>
    <definedName name="PFGF">#REF!</definedName>
    <definedName name="PIK">#REF!</definedName>
    <definedName name="PLANCAP">#REF!</definedName>
    <definedName name="PLANCAPS">#REF!</definedName>
    <definedName name="_xlnm.Print_Area" localSheetId="4">'AR Portfolio Growth'!$B$6:$AN$38</definedName>
    <definedName name="_xlnm.Print_Area" localSheetId="0">'Assumptions'!$A$7:$E$46</definedName>
    <definedName name="_xlnm.Print_Area" localSheetId="1">'BS 36-month Projection'!$F$2:$AP$24</definedName>
    <definedName name="_xlnm.Print_Area" localSheetId="3">'CF 36-month Projection'!$I$1:$AR$28</definedName>
    <definedName name="_xlnm.Print_Area" localSheetId="2">'IS 36-month Projection'!$F$2:$AS$45</definedName>
    <definedName name="_xlnm.Print_Area" localSheetId="7">'Net Loss Dollars P12B'!$C$3:$BB$61</definedName>
    <definedName name="_xlnm.Print_Area" localSheetId="5">'P&amp;I Pmts-new notes'!$B$8:$Y$17</definedName>
    <definedName name="_xlnm.Print_Area" localSheetId="6">'P&amp;I Pmts-previous notes'!$B$8:$AM$12</definedName>
    <definedName name="PRINT_CASHFLOW">#REF!</definedName>
    <definedName name="PRINT_INC._STAT">#REF!</definedName>
    <definedName name="PRINT_SCHEDULES">#REF!</definedName>
    <definedName name="_xlnm.Print_Titles" localSheetId="4">'AR Portfolio Growth'!$A:$A,'AR Portfolio Growth'!$1:$4</definedName>
    <definedName name="_xlnm.Print_Titles" localSheetId="1">'BS 36-month Projection'!$A:$E</definedName>
    <definedName name="_xlnm.Print_Titles" localSheetId="3">'CF 36-month Projection'!$A:$H</definedName>
    <definedName name="_xlnm.Print_Titles" localSheetId="2">'IS 36-month Projection'!$A:$E,'IS 36-month Projection'!$3:$4</definedName>
    <definedName name="_xlnm.Print_Titles" localSheetId="7">'Net Loss Dollars P12B'!$A:$B</definedName>
    <definedName name="_xlnm.Print_Titles" localSheetId="5">'P&amp;I Pmts-new notes'!$A:$A,'P&amp;I Pmts-new notes'!$1:$7</definedName>
    <definedName name="_xlnm.Print_Titles" localSheetId="6">'P&amp;I Pmts-previous notes'!$A:$A,'P&amp;I Pmts-previous notes'!$1:$7</definedName>
    <definedName name="SEED">#REF!</definedName>
    <definedName name="SEPT">#REF!</definedName>
    <definedName name="SLPM">#REF!</definedName>
    <definedName name="SLPY">#REF!</definedName>
    <definedName name="SUPPBRD">#REF!</definedName>
    <definedName name="SUPPGF">#REF!</definedName>
    <definedName name="WATERASS">#REF!</definedName>
  </definedNames>
  <calcPr fullCalcOnLoad="1"/>
</workbook>
</file>

<file path=xl/comments3.xml><?xml version="1.0" encoding="utf-8"?>
<comments xmlns="http://schemas.openxmlformats.org/spreadsheetml/2006/main">
  <authors>
    <author>John Morland</author>
  </authors>
  <commentList>
    <comment ref="D9" authorId="0">
      <text>
        <r>
          <rPr>
            <b/>
            <sz val="8"/>
            <rFont val="Tahoma"/>
            <family val="0"/>
          </rPr>
          <t>John Morland:</t>
        </r>
        <r>
          <rPr>
            <sz val="8"/>
            <rFont val="Tahoma"/>
            <family val="0"/>
          </rPr>
          <t xml:space="preserve">
includes warranty costs and starter interrupt costs, if applicable.</t>
        </r>
      </text>
    </comment>
  </commentList>
</comments>
</file>

<file path=xl/comments5.xml><?xml version="1.0" encoding="utf-8"?>
<comments xmlns="http://schemas.openxmlformats.org/spreadsheetml/2006/main">
  <authors>
    <author>John Morland</author>
  </authors>
  <commentList>
    <comment ref="A12" authorId="0">
      <text>
        <r>
          <rPr>
            <b/>
            <sz val="8"/>
            <rFont val="Tahoma"/>
            <family val="0"/>
          </rPr>
          <t>John Morland:</t>
        </r>
        <r>
          <rPr>
            <sz val="8"/>
            <rFont val="Tahoma"/>
            <family val="0"/>
          </rPr>
          <t xml:space="preserve">
includes warranty costs.</t>
        </r>
      </text>
    </comment>
  </commentList>
</comments>
</file>

<file path=xl/sharedStrings.xml><?xml version="1.0" encoding="utf-8"?>
<sst xmlns="http://schemas.openxmlformats.org/spreadsheetml/2006/main" count="405" uniqueCount="269">
  <si>
    <t>Cash</t>
  </si>
  <si>
    <t>TOTAL ASSETS</t>
  </si>
  <si>
    <t>LIABILITIES &amp; EQUITY</t>
  </si>
  <si>
    <t>Equity</t>
  </si>
  <si>
    <t>Net Income (Loss)</t>
  </si>
  <si>
    <t>Total Equity</t>
  </si>
  <si>
    <t>TOTAL LIABILITIES &amp; EQUITY</t>
  </si>
  <si>
    <t>Total</t>
  </si>
  <si>
    <t>Gross Profit</t>
  </si>
  <si>
    <t>Total Expense</t>
  </si>
  <si>
    <t>Cash flows from operating activities:</t>
  </si>
  <si>
    <t>Adjustments to reconcile net income to net cash</t>
  </si>
  <si>
    <t>provided by operating activities:</t>
  </si>
  <si>
    <t>Net cash provided by operating activities</t>
  </si>
  <si>
    <t>Cash flows from financing activities:</t>
  </si>
  <si>
    <t>Net cash used by financing activities</t>
  </si>
  <si>
    <t xml:space="preserve">Net increase (decrease) in cash </t>
  </si>
  <si>
    <t>Net income (loss)</t>
  </si>
  <si>
    <t>Contributions</t>
  </si>
  <si>
    <t>Rent</t>
  </si>
  <si>
    <t>Month</t>
  </si>
  <si>
    <t>YTD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</si>
  <si>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</si>
  <si>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</si>
  <si>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</si>
  <si>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</si>
  <si>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</si>
  <si>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</si>
  <si>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</si>
  <si>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</si>
  <si>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</si>
  <si>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</si>
  <si>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</si>
  <si>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</si>
  <si>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</si>
  <si>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</si>
  <si>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</si>
  <si>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</si>
  <si>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</si>
  <si>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</si>
  <si>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</si>
  <si>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</si>
  <si>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</si>
  <si>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</si>
  <si>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</si>
  <si>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</si>
  <si>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Repossession loss</t>
  </si>
  <si>
    <t>Cost of Revenues</t>
  </si>
  <si>
    <t>Total Cost of Revenues</t>
  </si>
  <si>
    <t>Bank charges</t>
  </si>
  <si>
    <t>Dues and Subscriptions</t>
  </si>
  <si>
    <t>Insurance</t>
  </si>
  <si>
    <t>Legal and accounting</t>
  </si>
  <si>
    <t>Office expense</t>
  </si>
  <si>
    <t>Outside services</t>
  </si>
  <si>
    <t>Repairs and maintenance</t>
  </si>
  <si>
    <t>Salaries</t>
  </si>
  <si>
    <t>Taxes - general</t>
  </si>
  <si>
    <t>Taxes - payroll</t>
  </si>
  <si>
    <t>Interest expense</t>
  </si>
  <si>
    <t>Revenues</t>
  </si>
  <si>
    <t>Finance Income</t>
  </si>
  <si>
    <t>Beginning</t>
  </si>
  <si>
    <t>Balances</t>
  </si>
  <si>
    <t>(Increase) Decrease in net receivables</t>
  </si>
  <si>
    <t>Cash at beginning of period</t>
  </si>
  <si>
    <t>Cash at end of period</t>
  </si>
  <si>
    <t>Total  Liabilities</t>
  </si>
  <si>
    <t>First Year</t>
  </si>
  <si>
    <t>Months</t>
  </si>
  <si>
    <t>Cost of vehicle</t>
  </si>
  <si>
    <t>Average downpayment per vehicle</t>
  </si>
  <si>
    <t>Amount financed</t>
  </si>
  <si>
    <t>Inventory level to start</t>
  </si>
  <si>
    <t>Bank borrowings at start of projection</t>
  </si>
  <si>
    <t>Sales Tax Rate</t>
  </si>
  <si>
    <t>Deferred Sales Tax (Y/N)</t>
  </si>
  <si>
    <t>Recycling of repossessed units (Y/N)</t>
  </si>
  <si>
    <t>N</t>
  </si>
  <si>
    <t>Term in months</t>
  </si>
  <si>
    <t>Interest rate (annual rate)</t>
  </si>
  <si>
    <t>A/R portfolio at start of projection (P &amp; I)</t>
  </si>
  <si>
    <t>A/R-Principal at start of projection</t>
  </si>
  <si>
    <t>A/R-Interest at start of projection</t>
  </si>
  <si>
    <t>Number of notes at start of projection</t>
  </si>
  <si>
    <t>AR Portfolio Growth</t>
  </si>
  <si>
    <t>Second Year</t>
  </si>
  <si>
    <t>Cars sold</t>
  </si>
  <si>
    <t>Sales Price</t>
  </si>
  <si>
    <t>Total Sales</t>
  </si>
  <si>
    <t>Amt Financed</t>
  </si>
  <si>
    <t>Total Financed Sales</t>
  </si>
  <si>
    <t>Portfolio reduced by write offs-previous notes</t>
  </si>
  <si>
    <t>Portfolio reduced by write offs-new notes</t>
  </si>
  <si>
    <t>Portfolio reduced by principal payments-previous notes</t>
  </si>
  <si>
    <t>Portfolio reduced by principal payments-new notes</t>
  </si>
  <si>
    <t>Reduce principal payments by repo rate-new notes</t>
  </si>
  <si>
    <t>Subtotal Principal Payments</t>
  </si>
  <si>
    <t>Total Portfolio-Previous Notes</t>
  </si>
  <si>
    <t>Total Portfolio-New Notes</t>
  </si>
  <si>
    <t>Total Portfolio-All Notes</t>
  </si>
  <si>
    <t>Average Portfolio-New Notes</t>
  </si>
  <si>
    <t xml:space="preserve">          (approximate amount received-last 12 months)</t>
  </si>
  <si>
    <t>Interest payments collected-new notes</t>
  </si>
  <si>
    <t>Reduce interest payments by repo rate-new notes</t>
  </si>
  <si>
    <t>Subtotal Interest Payments</t>
  </si>
  <si>
    <t>Net interest received on new notes (payments less repos)</t>
  </si>
  <si>
    <t>Percent of average balance</t>
  </si>
  <si>
    <t>Payments on new notes</t>
  </si>
  <si>
    <t>Per Sched.</t>
  </si>
  <si>
    <t>Difference</t>
  </si>
  <si>
    <t>Principal</t>
  </si>
  <si>
    <t>Monthly payments</t>
  </si>
  <si>
    <t>Interest</t>
  </si>
  <si>
    <t>Monthly Payments</t>
  </si>
  <si>
    <t>Monthly Payment</t>
  </si>
  <si>
    <t>Monthly Interest Rate</t>
  </si>
  <si>
    <t>Payment</t>
  </si>
  <si>
    <t>Balance</t>
  </si>
  <si>
    <t>2 year totals</t>
  </si>
  <si>
    <t>Payments on previous notes</t>
  </si>
  <si>
    <t>Estimated life remaining</t>
  </si>
  <si>
    <t>months</t>
  </si>
  <si>
    <t>Totals</t>
  </si>
  <si>
    <t>Totals after 24 months</t>
  </si>
  <si>
    <t>Expense</t>
  </si>
  <si>
    <t>Interest payments collected-previous notes</t>
  </si>
  <si>
    <t>ASSETS</t>
  </si>
  <si>
    <t>Floor Plan Balance at start of projection</t>
  </si>
  <si>
    <t>Inventory level to maintain (Constant)</t>
  </si>
  <si>
    <t>Income (Loss) Before Income Taxes</t>
  </si>
  <si>
    <t>Additional Assumptions:</t>
  </si>
  <si>
    <t>1)</t>
  </si>
  <si>
    <t>2)</t>
  </si>
  <si>
    <t>3)</t>
  </si>
  <si>
    <t>4)</t>
  </si>
  <si>
    <t>5)</t>
  </si>
  <si>
    <t>6)</t>
  </si>
  <si>
    <t>Recovery Income from bad debts has been assumed to be zero.</t>
  </si>
  <si>
    <t>Total average payments per month on existing portfolio (P&amp;I)</t>
  </si>
  <si>
    <t>Reduce principal payments by repo rate-previous notes</t>
  </si>
  <si>
    <t>Reduce interest payments by repo rate-previous notes</t>
  </si>
  <si>
    <t>Origination</t>
  </si>
  <si>
    <t>Volume</t>
  </si>
  <si>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</si>
  <si>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</si>
  <si>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</si>
  <si>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</si>
  <si>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</si>
  <si>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</si>
  <si>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</si>
  <si>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</si>
  <si>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</si>
  <si>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t=10</t>
  </si>
  <si>
    <t>t=11</t>
  </si>
  <si>
    <t>t=12</t>
  </si>
  <si>
    <t>t=13</t>
  </si>
  <si>
    <t>t=14</t>
  </si>
  <si>
    <t>t=15</t>
  </si>
  <si>
    <t>t=16</t>
  </si>
  <si>
    <t>t=17</t>
  </si>
  <si>
    <t>t=18</t>
  </si>
  <si>
    <t>t=19</t>
  </si>
  <si>
    <t>t=20</t>
  </si>
  <si>
    <t>t=21</t>
  </si>
  <si>
    <t>t=22</t>
  </si>
  <si>
    <t>t=23</t>
  </si>
  <si>
    <t>t=24</t>
  </si>
  <si>
    <t>t=25</t>
  </si>
  <si>
    <t>t=26</t>
  </si>
  <si>
    <t>t=27</t>
  </si>
  <si>
    <t>t=28</t>
  </si>
  <si>
    <t>t=29</t>
  </si>
  <si>
    <t>t=30</t>
  </si>
  <si>
    <t>t=31</t>
  </si>
  <si>
    <t>t=32</t>
  </si>
  <si>
    <t>t=33</t>
  </si>
  <si>
    <t>t=34</t>
  </si>
  <si>
    <t>t=35</t>
  </si>
  <si>
    <t>t=36</t>
  </si>
  <si>
    <t>t=37</t>
  </si>
  <si>
    <t>t=38</t>
  </si>
  <si>
    <t>t=39</t>
  </si>
  <si>
    <t>t=40</t>
  </si>
  <si>
    <t>t=41</t>
  </si>
  <si>
    <t>t=42</t>
  </si>
  <si>
    <t>t=43</t>
  </si>
  <si>
    <t>t=44</t>
  </si>
  <si>
    <t>Dollar</t>
  </si>
  <si>
    <t>Static</t>
  </si>
  <si>
    <t>Net</t>
  </si>
  <si>
    <t>t=45</t>
  </si>
  <si>
    <t>t=46</t>
  </si>
  <si>
    <t>t=47</t>
  </si>
  <si>
    <t>t=48</t>
  </si>
  <si>
    <t>Pool</t>
  </si>
  <si>
    <t>Losses</t>
  </si>
  <si>
    <t>(New Notes)</t>
  </si>
  <si>
    <t>(Old Notes)</t>
  </si>
  <si>
    <t>Loss Rate</t>
  </si>
  <si>
    <t>(beg bal )</t>
  </si>
  <si>
    <t>Utilities and Telephone</t>
  </si>
  <si>
    <t>Travel/Training</t>
  </si>
  <si>
    <t>Other Operating Expense</t>
  </si>
  <si>
    <t>amount financed)</t>
  </si>
  <si>
    <t>Cash in bank balance maintained at a minimum of $10,000.</t>
  </si>
  <si>
    <t>3 year totals</t>
  </si>
  <si>
    <t>Third Year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</si>
  <si>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</si>
  <si>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</si>
  <si>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</si>
  <si>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</si>
  <si>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</si>
  <si>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</si>
  <si>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</si>
  <si>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</si>
  <si>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</si>
  <si>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</si>
  <si>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</si>
  <si>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</si>
  <si>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Cars sold per month</t>
  </si>
  <si>
    <t>Loss Rate Composite</t>
  </si>
  <si>
    <t>Make Ready per vehicle</t>
  </si>
  <si>
    <t>Sales price per vehicle</t>
  </si>
  <si>
    <t>Average downpayment includes trade-ins.</t>
  </si>
  <si>
    <t>Inventory</t>
  </si>
  <si>
    <t>Sales Taxes</t>
  </si>
  <si>
    <t>Financed Sales</t>
  </si>
  <si>
    <t>Other Income</t>
  </si>
  <si>
    <t>Cost of vehicles - financed sales</t>
  </si>
  <si>
    <t>Reconditioning costs</t>
  </si>
  <si>
    <t>Other costs of revenues</t>
  </si>
  <si>
    <t>Tax, Title &amp; License</t>
  </si>
  <si>
    <t>Advertising</t>
  </si>
  <si>
    <t>Downpayments Collected</t>
  </si>
  <si>
    <t>Total Income</t>
  </si>
  <si>
    <t>Receivables-Net</t>
  </si>
  <si>
    <t>N/P - Floor Plan</t>
  </si>
  <si>
    <t>(Increase) Decrease in inventory</t>
  </si>
  <si>
    <t>Repossession Rate - New notes</t>
  </si>
  <si>
    <t>Repossession Rate - Previous notes</t>
  </si>
  <si>
    <t>Depreciation expense is not reflected.</t>
  </si>
  <si>
    <t>Capital</t>
  </si>
  <si>
    <t>(units sold / month *</t>
  </si>
  <si>
    <t>Interest rate on borrowings (annual rate) (prior debt)</t>
  </si>
  <si>
    <t>Income taxes are not considered.</t>
  </si>
  <si>
    <t>Tot Prin Rec'd.</t>
  </si>
  <si>
    <t>Tot Int Rec'd.</t>
  </si>
  <si>
    <t>Tot Prin Rec'd</t>
  </si>
  <si>
    <t>Tot Int Rec'd</t>
  </si>
  <si>
    <t>Deferred Sales Tax Payable</t>
  </si>
  <si>
    <t>Increase (Decrease) in deferred sales tax payable</t>
  </si>
  <si>
    <t>N/P - Bank (Old)</t>
  </si>
  <si>
    <t>All operating expenses are based on benchmark numbers.  Payroll taxes are calculated.</t>
  </si>
  <si>
    <t>Sample Company</t>
  </si>
  <si>
    <t>Increase (Decrease) in N/P-Bank-New</t>
  </si>
  <si>
    <t>Cash Balance at start of projection</t>
  </si>
  <si>
    <t>Sales Tax Payable at start of projection</t>
  </si>
  <si>
    <t>Rem. Life/Loans</t>
  </si>
  <si>
    <t>Number of cols.</t>
  </si>
  <si>
    <t>to move in</t>
  </si>
  <si>
    <t>N/P - Bank</t>
  </si>
  <si>
    <t>Company Name</t>
  </si>
  <si>
    <t>Initial starting capital</t>
  </si>
  <si>
    <t>Interest rate on borrowings (annual rate)</t>
  </si>
  <si>
    <t>Please fill in your estimated business model.</t>
  </si>
  <si>
    <t>This projection model is based on industry benchmarks for operating expenses and repossession loss curves.</t>
  </si>
  <si>
    <t xml:space="preserve">You results can and will likely vary from those projected. </t>
  </si>
  <si>
    <t>This is a tool to help dealers better understand the vast amounts of cash needed to operate a BHPH operation.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</si>
</sst>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0.00_)"/>
    <numFmt numFmtId="169" formatCode="0_)"/>
    <numFmt numFmtId="170" formatCode="#.00"/>
    <numFmt numFmtId="171" formatCode="#,##0."/>
    <numFmt numFmtId="172" formatCode="0.0_)"/>
    <numFmt numFmtId="173" formatCode="0.0000_)"/>
    <numFmt numFmtId="174" formatCode="[$-409]mmmm\ d\,\ yyyy;@"/>
    <numFmt numFmtId="175" formatCode="m/d/yy"/>
    <numFmt numFmtId="176" formatCode="_(* #,##0.00000_);_(* \(#,##0.00000\);_(* &quot;-&quot;??_);_(@_)"/>
    <numFmt numFmtId="177" formatCode="_(* #,##0.0_);_(* \(#,##0.0\);_(* &quot;-&quot;_);_(@_)"/>
    <numFmt numFmtId="178" formatCode="_(* #,##0.0000_);_(* \(#,##0.0000\);_(* &quot;-&quot;??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&quot;$&quot;* #,##0.000_);_(&quot;$&quot;* \(#,##0.000\);_(&quot;$&quot;* &quot;-&quot;???_);_(@_)"/>
    <numFmt numFmtId="183" formatCode="_(* #,##0.000_);_(* \(#,##0.000\);_(* &quot;-&quot;???_);_(@_)"/>
    <numFmt numFmtId="184" formatCode="_(&quot;$&quot;* #,##0.0_);_(&quot;$&quot;* \(#,##0.0\);_(&quot;$&quot;* &quot;-&quot;??_);_(@_)"/>
    <numFmt numFmtId="185" formatCode="_(* #,##0.0_);_(* \(#,##0.0\);_(* &quot;-&quot;??_);_(@_)"/>
    <numFmt numFmtId="186" formatCode="[$-409]dddd\,\ mmmm\ dd\,\ yyyy"/>
    <numFmt numFmtId="187" formatCode="[$-409]m/d/yy\ h:mm\ AM/PM;@"/>
    <numFmt numFmtId="188" formatCode="_(&quot;$&quot;* #,##0.000_);_(&quot;$&quot;* \(#,##0.000\);_(&quot;$&quot;* &quot;-&quot;??_);_(@_)"/>
    <numFmt numFmtId="189" formatCode="#,##0.0_);\(#,##0.0\)"/>
    <numFmt numFmtId="190" formatCode="0.000%"/>
    <numFmt numFmtId="191" formatCode="0.00000000%"/>
    <numFmt numFmtId="192" formatCode="0.00000"/>
    <numFmt numFmtId="193" formatCode="0.0000"/>
    <numFmt numFmtId="194" formatCode="0.000_)"/>
    <numFmt numFmtId="195" formatCode="_(* #,##0.000_);_(* \(#,##0.000\);_(* &quot;-&quot;??_);_(@_)"/>
    <numFmt numFmtId="196" formatCode="_(* #,##0.0000_);_(* \(#,##0.0000\);_(* &quot;-&quot;??_);_(@_)"/>
    <numFmt numFmtId="197" formatCode="_(* #,##0.00_);_(* \(#,##0.00\);_(* &quot;-&quot;_);_(@_)"/>
    <numFmt numFmtId="198" formatCode="0.0000%"/>
    <numFmt numFmtId="199" formatCode="0.00000%"/>
    <numFmt numFmtId="200" formatCode="#,##0.000_);\(#,##0.000\)"/>
  </numFmts>
  <fonts count="73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36"/>
      <name val="Helv"/>
      <family val="0"/>
    </font>
    <font>
      <b/>
      <sz val="1"/>
      <color indexed="8"/>
      <name val="Courier"/>
      <family val="0"/>
    </font>
    <font>
      <u val="single"/>
      <sz val="10"/>
      <color indexed="12"/>
      <name val="Helv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Helv"/>
      <family val="0"/>
    </font>
    <font>
      <b/>
      <sz val="10"/>
      <color indexed="9"/>
      <name val="Helv"/>
      <family val="0"/>
    </font>
    <font>
      <sz val="10"/>
      <color indexed="9"/>
      <name val="Arial"/>
      <family val="2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0"/>
      <name val="Helv"/>
      <family val="0"/>
    </font>
    <font>
      <b/>
      <sz val="10"/>
      <color theme="0"/>
      <name val="Helv"/>
      <family val="0"/>
    </font>
    <font>
      <sz val="10"/>
      <color theme="0"/>
      <name val="Arial"/>
      <family val="2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 locked="0"/>
    </xf>
    <xf numFmtId="0" fontId="50" fillId="0" borderId="0" applyNumberFormat="0" applyFill="0" applyBorder="0" applyAlignment="0" applyProtection="0"/>
    <xf numFmtId="171" fontId="3" fillId="0" borderId="0">
      <alignment/>
      <protection locked="0"/>
    </xf>
    <xf numFmtId="171" fontId="3" fillId="0" borderId="0">
      <alignment/>
      <protection locked="0"/>
    </xf>
    <xf numFmtId="171" fontId="4" fillId="0" borderId="0">
      <alignment/>
      <protection locked="0"/>
    </xf>
    <xf numFmtId="171" fontId="3" fillId="0" borderId="0">
      <alignment/>
      <protection locked="0"/>
    </xf>
    <xf numFmtId="171" fontId="3" fillId="0" borderId="0">
      <alignment/>
      <protection locked="0"/>
    </xf>
    <xf numFmtId="171" fontId="3" fillId="0" borderId="0">
      <alignment/>
      <protection locked="0"/>
    </xf>
    <xf numFmtId="171" fontId="4" fillId="0" borderId="0">
      <alignment/>
      <protection locked="0"/>
    </xf>
    <xf numFmtId="170" fontId="3" fillId="0" borderId="0">
      <alignment/>
      <protection locked="0"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168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9">
      <alignment/>
      <protection locked="0"/>
    </xf>
    <xf numFmtId="0" fontId="6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" textRotation="180"/>
    </xf>
    <xf numFmtId="165" fontId="0" fillId="0" borderId="0" xfId="42" applyNumberFormat="1" applyFont="1" applyBorder="1" applyAlignment="1">
      <alignment/>
    </xf>
    <xf numFmtId="41" fontId="0" fillId="0" borderId="0" xfId="68" applyNumberFormat="1" applyFont="1">
      <alignment/>
      <protection/>
    </xf>
    <xf numFmtId="168" fontId="0" fillId="0" borderId="0" xfId="68" applyFont="1">
      <alignment/>
      <protection/>
    </xf>
    <xf numFmtId="42" fontId="0" fillId="0" borderId="0" xfId="68" applyNumberFormat="1" applyFont="1">
      <alignment/>
      <protection/>
    </xf>
    <xf numFmtId="166" fontId="0" fillId="0" borderId="0" xfId="44" applyNumberFormat="1" applyFont="1" applyAlignment="1">
      <alignment/>
    </xf>
    <xf numFmtId="9" fontId="0" fillId="0" borderId="0" xfId="72" applyFont="1" applyAlignment="1">
      <alignment/>
    </xf>
    <xf numFmtId="10" fontId="0" fillId="0" borderId="0" xfId="72" applyNumberFormat="1" applyFont="1" applyAlignment="1">
      <alignment/>
    </xf>
    <xf numFmtId="0" fontId="0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 textRotation="180"/>
    </xf>
    <xf numFmtId="0" fontId="0" fillId="0" borderId="0" xfId="0" applyNumberFormat="1" applyFont="1" applyAlignment="1">
      <alignment vertical="center" textRotation="180"/>
    </xf>
    <xf numFmtId="0" fontId="2" fillId="0" borderId="0" xfId="0" applyFont="1" applyAlignment="1">
      <alignment horizontal="center" textRotation="180"/>
    </xf>
    <xf numFmtId="39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39" fontId="0" fillId="0" borderId="13" xfId="0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2" fillId="0" borderId="0" xfId="69" applyFont="1">
      <alignment/>
      <protection/>
    </xf>
    <xf numFmtId="0" fontId="0" fillId="0" borderId="16" xfId="0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2" fontId="2" fillId="0" borderId="17" xfId="0" applyNumberFormat="1" applyFont="1" applyBorder="1" applyAlignment="1">
      <alignment/>
    </xf>
    <xf numFmtId="42" fontId="2" fillId="0" borderId="18" xfId="0" applyNumberFormat="1" applyFont="1" applyBorder="1" applyAlignment="1">
      <alignment/>
    </xf>
    <xf numFmtId="0" fontId="0" fillId="0" borderId="0" xfId="0" applyFont="1" applyAlignment="1">
      <alignment vertical="center" textRotation="180"/>
    </xf>
    <xf numFmtId="0" fontId="9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167" fontId="2" fillId="0" borderId="0" xfId="44" applyNumberFormat="1" applyFont="1" applyBorder="1" applyAlignment="1">
      <alignment horizontal="center"/>
    </xf>
    <xf numFmtId="42" fontId="0" fillId="0" borderId="0" xfId="44" applyNumberFormat="1" applyFont="1" applyBorder="1" applyAlignment="1">
      <alignment/>
    </xf>
    <xf numFmtId="42" fontId="2" fillId="0" borderId="0" xfId="44" applyNumberFormat="1" applyFont="1" applyBorder="1" applyAlignment="1">
      <alignment/>
    </xf>
    <xf numFmtId="39" fontId="10" fillId="0" borderId="19" xfId="0" applyNumberFormat="1" applyFont="1" applyBorder="1" applyAlignment="1">
      <alignment horizontal="center"/>
    </xf>
    <xf numFmtId="42" fontId="0" fillId="0" borderId="13" xfId="0" applyNumberFormat="1" applyFont="1" applyBorder="1" applyAlignment="1">
      <alignment/>
    </xf>
    <xf numFmtId="42" fontId="0" fillId="0" borderId="10" xfId="0" applyNumberFormat="1" applyFont="1" applyBorder="1" applyAlignment="1">
      <alignment/>
    </xf>
    <xf numFmtId="37" fontId="2" fillId="0" borderId="0" xfId="44" applyNumberFormat="1" applyFont="1" applyBorder="1" applyAlignment="1">
      <alignment/>
    </xf>
    <xf numFmtId="7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2" fontId="0" fillId="0" borderId="17" xfId="0" applyNumberFormat="1" applyFont="1" applyBorder="1" applyAlignment="1">
      <alignment/>
    </xf>
    <xf numFmtId="42" fontId="2" fillId="0" borderId="20" xfId="0" applyNumberFormat="1" applyFont="1" applyBorder="1" applyAlignment="1">
      <alignment/>
    </xf>
    <xf numFmtId="39" fontId="2" fillId="0" borderId="14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39" fontId="12" fillId="0" borderId="14" xfId="0" applyNumberFormat="1" applyFont="1" applyBorder="1" applyAlignment="1">
      <alignment/>
    </xf>
    <xf numFmtId="39" fontId="12" fillId="0" borderId="10" xfId="0" applyNumberFormat="1" applyFont="1" applyBorder="1" applyAlignment="1">
      <alignment/>
    </xf>
    <xf numFmtId="42" fontId="12" fillId="0" borderId="10" xfId="44" applyNumberFormat="1" applyFont="1" applyBorder="1" applyAlignment="1">
      <alignment/>
    </xf>
    <xf numFmtId="41" fontId="12" fillId="0" borderId="10" xfId="0" applyNumberFormat="1" applyFont="1" applyBorder="1" applyAlignment="1">
      <alignment/>
    </xf>
    <xf numFmtId="41" fontId="10" fillId="0" borderId="21" xfId="0" applyNumberFormat="1" applyFont="1" applyBorder="1" applyAlignment="1">
      <alignment/>
    </xf>
    <xf numFmtId="41" fontId="12" fillId="0" borderId="19" xfId="0" applyNumberFormat="1" applyFont="1" applyBorder="1" applyAlignment="1">
      <alignment/>
    </xf>
    <xf numFmtId="41" fontId="12" fillId="0" borderId="22" xfId="0" applyNumberFormat="1" applyFont="1" applyBorder="1" applyAlignment="1">
      <alignment/>
    </xf>
    <xf numFmtId="41" fontId="12" fillId="0" borderId="23" xfId="0" applyNumberFormat="1" applyFont="1" applyBorder="1" applyAlignment="1">
      <alignment/>
    </xf>
    <xf numFmtId="42" fontId="10" fillId="0" borderId="24" xfId="44" applyNumberFormat="1" applyFont="1" applyBorder="1" applyAlignment="1">
      <alignment/>
    </xf>
    <xf numFmtId="42" fontId="10" fillId="0" borderId="25" xfId="44" applyNumberFormat="1" applyFont="1" applyBorder="1" applyAlignment="1">
      <alignment/>
    </xf>
    <xf numFmtId="0" fontId="0" fillId="0" borderId="0" xfId="0" applyFont="1" applyBorder="1" applyAlignment="1">
      <alignment/>
    </xf>
    <xf numFmtId="168" fontId="13" fillId="0" borderId="0" xfId="68" applyFont="1">
      <alignment/>
      <protection/>
    </xf>
    <xf numFmtId="0" fontId="2" fillId="0" borderId="0" xfId="0" applyFont="1" applyAlignment="1">
      <alignment vertical="top"/>
    </xf>
    <xf numFmtId="41" fontId="9" fillId="0" borderId="0" xfId="0" applyNumberFormat="1" applyFont="1" applyAlignment="1">
      <alignment/>
    </xf>
    <xf numFmtId="10" fontId="0" fillId="0" borderId="0" xfId="42" applyNumberFormat="1" applyFont="1" applyBorder="1" applyAlignment="1">
      <alignment/>
    </xf>
    <xf numFmtId="42" fontId="10" fillId="0" borderId="26" xfId="44" applyNumberFormat="1" applyFont="1" applyBorder="1" applyAlignment="1">
      <alignment/>
    </xf>
    <xf numFmtId="42" fontId="2" fillId="0" borderId="0" xfId="68" applyNumberFormat="1" applyFont="1" applyAlignment="1">
      <alignment horizontal="center"/>
      <protection/>
    </xf>
    <xf numFmtId="10" fontId="0" fillId="0" borderId="0" xfId="68" applyNumberFormat="1" applyFont="1">
      <alignment/>
      <protection/>
    </xf>
    <xf numFmtId="168" fontId="0" fillId="0" borderId="0" xfId="68" applyFont="1" applyAlignment="1">
      <alignment horizontal="right"/>
      <protection/>
    </xf>
    <xf numFmtId="168" fontId="14" fillId="0" borderId="0" xfId="68" applyFont="1">
      <alignment/>
      <protection/>
    </xf>
    <xf numFmtId="164" fontId="0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0" fontId="0" fillId="0" borderId="0" xfId="72" applyNumberFormat="1" applyFont="1" applyBorder="1" applyAlignment="1">
      <alignment/>
    </xf>
    <xf numFmtId="44" fontId="0" fillId="0" borderId="0" xfId="44" applyFont="1" applyAlignment="1">
      <alignment/>
    </xf>
    <xf numFmtId="37" fontId="2" fillId="0" borderId="10" xfId="0" applyNumberFormat="1" applyFont="1" applyBorder="1" applyAlignment="1">
      <alignment/>
    </xf>
    <xf numFmtId="43" fontId="9" fillId="0" borderId="0" xfId="42" applyFont="1" applyAlignment="1">
      <alignment/>
    </xf>
    <xf numFmtId="166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8" fontId="0" fillId="0" borderId="0" xfId="68" applyFont="1" applyFill="1">
      <alignment/>
      <protection/>
    </xf>
    <xf numFmtId="42" fontId="2" fillId="0" borderId="12" xfId="0" applyNumberFormat="1" applyFont="1" applyBorder="1" applyAlignment="1">
      <alignment/>
    </xf>
    <xf numFmtId="42" fontId="2" fillId="0" borderId="11" xfId="0" applyNumberFormat="1" applyFont="1" applyBorder="1" applyAlignment="1">
      <alignment/>
    </xf>
    <xf numFmtId="42" fontId="0" fillId="0" borderId="12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165" fontId="0" fillId="0" borderId="12" xfId="42" applyNumberFormat="1" applyFont="1" applyFill="1" applyBorder="1" applyAlignment="1">
      <alignment/>
    </xf>
    <xf numFmtId="41" fontId="0" fillId="0" borderId="12" xfId="68" applyNumberFormat="1" applyFont="1" applyFill="1" applyBorder="1" applyAlignment="1">
      <alignment horizontal="right"/>
      <protection/>
    </xf>
    <xf numFmtId="44" fontId="0" fillId="0" borderId="12" xfId="44" applyNumberFormat="1" applyFont="1" applyFill="1" applyBorder="1" applyAlignment="1">
      <alignment horizontal="right"/>
    </xf>
    <xf numFmtId="42" fontId="0" fillId="0" borderId="12" xfId="44" applyNumberFormat="1" applyFont="1" applyFill="1" applyBorder="1" applyAlignment="1">
      <alignment/>
    </xf>
    <xf numFmtId="166" fontId="0" fillId="0" borderId="12" xfId="44" applyNumberFormat="1" applyFont="1" applyFill="1" applyBorder="1" applyAlignment="1">
      <alignment/>
    </xf>
    <xf numFmtId="10" fontId="0" fillId="0" borderId="12" xfId="72" applyNumberFormat="1" applyFont="1" applyFill="1" applyBorder="1" applyAlignment="1">
      <alignment horizontal="right"/>
    </xf>
    <xf numFmtId="10" fontId="0" fillId="0" borderId="12" xfId="72" applyNumberFormat="1" applyFont="1" applyFill="1" applyBorder="1" applyAlignment="1">
      <alignment/>
    </xf>
    <xf numFmtId="42" fontId="0" fillId="0" borderId="12" xfId="72" applyNumberFormat="1" applyFont="1" applyFill="1" applyBorder="1" applyAlignment="1">
      <alignment/>
    </xf>
    <xf numFmtId="9" fontId="0" fillId="0" borderId="12" xfId="72" applyFont="1" applyFill="1" applyBorder="1" applyAlignment="1">
      <alignment horizontal="right"/>
    </xf>
    <xf numFmtId="172" fontId="0" fillId="0" borderId="12" xfId="68" applyNumberFormat="1" applyFont="1" applyFill="1" applyBorder="1" applyAlignment="1">
      <alignment/>
      <protection/>
    </xf>
    <xf numFmtId="164" fontId="0" fillId="0" borderId="12" xfId="72" applyNumberFormat="1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42" fontId="0" fillId="0" borderId="12" xfId="68" applyNumberFormat="1" applyFont="1" applyFill="1" applyBorder="1">
      <alignment/>
      <protection/>
    </xf>
    <xf numFmtId="168" fontId="0" fillId="0" borderId="12" xfId="68" applyFont="1" applyFill="1" applyBorder="1" applyAlignment="1">
      <alignment horizontal="center"/>
      <protection/>
    </xf>
    <xf numFmtId="42" fontId="0" fillId="0" borderId="12" xfId="44" applyNumberFormat="1" applyFont="1" applyFill="1" applyBorder="1" applyAlignment="1">
      <alignment/>
    </xf>
    <xf numFmtId="42" fontId="0" fillId="0" borderId="12" xfId="68" applyNumberFormat="1" applyFont="1" applyFill="1" applyBorder="1" applyAlignment="1">
      <alignment/>
      <protection/>
    </xf>
    <xf numFmtId="168" fontId="17" fillId="0" borderId="0" xfId="68" applyFont="1">
      <alignment/>
      <protection/>
    </xf>
    <xf numFmtId="42" fontId="12" fillId="0" borderId="10" xfId="42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2" fontId="0" fillId="0" borderId="22" xfId="0" applyNumberFormat="1" applyFont="1" applyBorder="1" applyAlignment="1">
      <alignment/>
    </xf>
    <xf numFmtId="168" fontId="2" fillId="0" borderId="0" xfId="68" applyFont="1">
      <alignment/>
      <protection/>
    </xf>
    <xf numFmtId="42" fontId="10" fillId="0" borderId="27" xfId="44" applyNumberFormat="1" applyFont="1" applyBorder="1" applyAlignment="1">
      <alignment/>
    </xf>
    <xf numFmtId="42" fontId="10" fillId="0" borderId="27" xfId="0" applyNumberFormat="1" applyFont="1" applyBorder="1" applyAlignment="1">
      <alignment/>
    </xf>
    <xf numFmtId="168" fontId="61" fillId="0" borderId="0" xfId="68" applyFont="1">
      <alignment/>
      <protection/>
    </xf>
    <xf numFmtId="168" fontId="62" fillId="0" borderId="0" xfId="68" applyFont="1">
      <alignment/>
      <protection/>
    </xf>
    <xf numFmtId="1" fontId="62" fillId="0" borderId="0" xfId="68" applyNumberFormat="1" applyFont="1">
      <alignment/>
      <protection/>
    </xf>
    <xf numFmtId="169" fontId="62" fillId="0" borderId="0" xfId="68" applyNumberFormat="1" applyFont="1">
      <alignment/>
      <protection/>
    </xf>
    <xf numFmtId="1" fontId="61" fillId="0" borderId="0" xfId="68" applyNumberFormat="1" applyFont="1" applyAlignment="1">
      <alignment horizontal="center"/>
      <protection/>
    </xf>
    <xf numFmtId="165" fontId="61" fillId="0" borderId="0" xfId="42" applyNumberFormat="1" applyFont="1" applyBorder="1" applyAlignment="1">
      <alignment/>
    </xf>
    <xf numFmtId="168" fontId="61" fillId="0" borderId="28" xfId="68" applyFont="1" applyBorder="1">
      <alignment/>
      <protection/>
    </xf>
    <xf numFmtId="166" fontId="61" fillId="0" borderId="0" xfId="44" applyNumberFormat="1" applyFont="1" applyAlignment="1">
      <alignment/>
    </xf>
    <xf numFmtId="166" fontId="61" fillId="0" borderId="28" xfId="44" applyNumberFormat="1" applyFont="1" applyBorder="1" applyAlignment="1">
      <alignment/>
    </xf>
    <xf numFmtId="42" fontId="61" fillId="0" borderId="29" xfId="68" applyNumberFormat="1" applyFont="1" applyBorder="1">
      <alignment/>
      <protection/>
    </xf>
    <xf numFmtId="166" fontId="61" fillId="0" borderId="0" xfId="44" applyNumberFormat="1" applyFont="1" applyAlignment="1">
      <alignment/>
    </xf>
    <xf numFmtId="42" fontId="61" fillId="0" borderId="28" xfId="68" applyNumberFormat="1" applyFont="1" applyBorder="1">
      <alignment/>
      <protection/>
    </xf>
    <xf numFmtId="166" fontId="61" fillId="0" borderId="30" xfId="44" applyNumberFormat="1" applyFont="1" applyBorder="1" applyAlignment="1">
      <alignment horizontal="center"/>
    </xf>
    <xf numFmtId="42" fontId="61" fillId="0" borderId="0" xfId="68" applyNumberFormat="1" applyFont="1">
      <alignment/>
      <protection/>
    </xf>
    <xf numFmtId="41" fontId="61" fillId="0" borderId="0" xfId="68" applyNumberFormat="1" applyFont="1">
      <alignment/>
      <protection/>
    </xf>
    <xf numFmtId="43" fontId="61" fillId="0" borderId="0" xfId="68" applyNumberFormat="1" applyFont="1">
      <alignment/>
      <protection/>
    </xf>
    <xf numFmtId="165" fontId="61" fillId="0" borderId="0" xfId="42" applyNumberFormat="1" applyFont="1" applyAlignment="1">
      <alignment/>
    </xf>
    <xf numFmtId="42" fontId="61" fillId="0" borderId="31" xfId="68" applyNumberFormat="1" applyFont="1" applyBorder="1">
      <alignment/>
      <protection/>
    </xf>
    <xf numFmtId="0" fontId="61" fillId="0" borderId="0" xfId="68" applyNumberFormat="1" applyFont="1">
      <alignment/>
      <protection/>
    </xf>
    <xf numFmtId="165" fontId="61" fillId="0" borderId="9" xfId="42" applyNumberFormat="1" applyFont="1" applyBorder="1" applyAlignment="1">
      <alignment/>
    </xf>
    <xf numFmtId="166" fontId="61" fillId="0" borderId="32" xfId="44" applyNumberFormat="1" applyFont="1" applyBorder="1" applyAlignment="1">
      <alignment/>
    </xf>
    <xf numFmtId="190" fontId="61" fillId="0" borderId="0" xfId="72" applyNumberFormat="1" applyFont="1" applyAlignment="1">
      <alignment/>
    </xf>
    <xf numFmtId="166" fontId="61" fillId="0" borderId="0" xfId="44" applyNumberFormat="1" applyFont="1" applyBorder="1" applyAlignment="1">
      <alignment/>
    </xf>
    <xf numFmtId="41" fontId="61" fillId="0" borderId="0" xfId="68" applyNumberFormat="1" applyFont="1" applyBorder="1">
      <alignment/>
      <protection/>
    </xf>
    <xf numFmtId="42" fontId="61" fillId="0" borderId="33" xfId="68" applyNumberFormat="1" applyFont="1" applyBorder="1">
      <alignment/>
      <protection/>
    </xf>
    <xf numFmtId="164" fontId="61" fillId="0" borderId="20" xfId="72" applyNumberFormat="1" applyFont="1" applyBorder="1" applyAlignment="1">
      <alignment/>
    </xf>
    <xf numFmtId="164" fontId="61" fillId="0" borderId="0" xfId="72" applyNumberFormat="1" applyFont="1" applyBorder="1" applyAlignment="1">
      <alignment/>
    </xf>
    <xf numFmtId="164" fontId="61" fillId="0" borderId="33" xfId="72" applyNumberFormat="1" applyFont="1" applyBorder="1" applyAlignment="1">
      <alignment/>
    </xf>
    <xf numFmtId="169" fontId="61" fillId="0" borderId="0" xfId="68" applyNumberFormat="1" applyFont="1">
      <alignment/>
      <protection/>
    </xf>
    <xf numFmtId="6" fontId="61" fillId="0" borderId="0" xfId="42" applyNumberFormat="1" applyFont="1" applyAlignment="1">
      <alignment/>
    </xf>
    <xf numFmtId="173" fontId="61" fillId="0" borderId="33" xfId="68" applyNumberFormat="1" applyFont="1" applyBorder="1">
      <alignment/>
      <protection/>
    </xf>
    <xf numFmtId="173" fontId="61" fillId="0" borderId="0" xfId="68" applyNumberFormat="1" applyFont="1">
      <alignment/>
      <protection/>
    </xf>
    <xf numFmtId="169" fontId="61" fillId="0" borderId="0" xfId="68" applyNumberFormat="1" applyFont="1" applyAlignment="1">
      <alignment horizontal="center"/>
      <protection/>
    </xf>
    <xf numFmtId="0" fontId="61" fillId="0" borderId="0" xfId="42" applyNumberFormat="1" applyFont="1" applyAlignment="1">
      <alignment horizontal="center"/>
    </xf>
    <xf numFmtId="165" fontId="61" fillId="0" borderId="32" xfId="42" applyNumberFormat="1" applyFont="1" applyBorder="1" applyAlignment="1">
      <alignment/>
    </xf>
    <xf numFmtId="165" fontId="63" fillId="0" borderId="0" xfId="42" applyNumberFormat="1" applyFont="1" applyBorder="1" applyAlignment="1">
      <alignment/>
    </xf>
    <xf numFmtId="168" fontId="61" fillId="0" borderId="9" xfId="68" applyFont="1" applyBorder="1">
      <alignment/>
      <protection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34" xfId="0" applyFont="1" applyBorder="1" applyAlignment="1">
      <alignment/>
    </xf>
    <xf numFmtId="0" fontId="65" fillId="0" borderId="34" xfId="0" applyFont="1" applyBorder="1" applyAlignment="1">
      <alignment horizontal="center"/>
    </xf>
    <xf numFmtId="0" fontId="63" fillId="0" borderId="35" xfId="0" applyFont="1" applyBorder="1" applyAlignment="1">
      <alignment/>
    </xf>
    <xf numFmtId="0" fontId="63" fillId="0" borderId="36" xfId="0" applyFont="1" applyBorder="1" applyAlignment="1">
      <alignment/>
    </xf>
    <xf numFmtId="0" fontId="66" fillId="0" borderId="36" xfId="0" applyFont="1" applyBorder="1" applyAlignment="1">
      <alignment horizontal="centerContinuous"/>
    </xf>
    <xf numFmtId="0" fontId="63" fillId="0" borderId="36" xfId="0" applyFont="1" applyBorder="1" applyAlignment="1">
      <alignment horizontal="centerContinuous"/>
    </xf>
    <xf numFmtId="0" fontId="63" fillId="0" borderId="37" xfId="0" applyFont="1" applyBorder="1" applyAlignment="1">
      <alignment/>
    </xf>
    <xf numFmtId="0" fontId="63" fillId="0" borderId="38" xfId="0" applyFont="1" applyBorder="1" applyAlignment="1">
      <alignment/>
    </xf>
    <xf numFmtId="0" fontId="67" fillId="0" borderId="0" xfId="0" applyFont="1" applyBorder="1" applyAlignment="1">
      <alignment horizontal="centerContinuous"/>
    </xf>
    <xf numFmtId="0" fontId="66" fillId="0" borderId="0" xfId="0" applyFont="1" applyBorder="1" applyAlignment="1">
      <alignment horizontal="centerContinuous"/>
    </xf>
    <xf numFmtId="0" fontId="63" fillId="0" borderId="0" xfId="0" applyFont="1" applyBorder="1" applyAlignment="1">
      <alignment horizontal="centerContinuous"/>
    </xf>
    <xf numFmtId="0" fontId="63" fillId="0" borderId="39" xfId="0" applyFont="1" applyBorder="1" applyAlignment="1">
      <alignment/>
    </xf>
    <xf numFmtId="0" fontId="68" fillId="0" borderId="40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16" xfId="0" applyFont="1" applyBorder="1" applyAlignment="1">
      <alignment/>
    </xf>
    <xf numFmtId="0" fontId="69" fillId="0" borderId="16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28" xfId="0" applyFont="1" applyBorder="1" applyAlignment="1">
      <alignment horizontal="centerContinuous"/>
    </xf>
    <xf numFmtId="0" fontId="63" fillId="0" borderId="28" xfId="0" applyFont="1" applyBorder="1" applyAlignment="1">
      <alignment horizontal="centerContinuous"/>
    </xf>
    <xf numFmtId="0" fontId="70" fillId="0" borderId="12" xfId="0" applyFont="1" applyBorder="1" applyAlignment="1">
      <alignment horizontal="right"/>
    </xf>
    <xf numFmtId="175" fontId="63" fillId="0" borderId="12" xfId="0" applyNumberFormat="1" applyFont="1" applyBorder="1" applyAlignment="1">
      <alignment horizontal="left"/>
    </xf>
    <xf numFmtId="5" fontId="71" fillId="0" borderId="12" xfId="0" applyNumberFormat="1" applyFont="1" applyBorder="1" applyAlignment="1">
      <alignment/>
    </xf>
    <xf numFmtId="10" fontId="71" fillId="0" borderId="12" xfId="72" applyNumberFormat="1" applyFont="1" applyBorder="1" applyAlignment="1">
      <alignment/>
    </xf>
    <xf numFmtId="5" fontId="71" fillId="0" borderId="12" xfId="72" applyNumberFormat="1" applyFont="1" applyBorder="1" applyAlignment="1">
      <alignment/>
    </xf>
    <xf numFmtId="3" fontId="63" fillId="0" borderId="0" xfId="0" applyNumberFormat="1" applyFont="1" applyAlignment="1">
      <alignment/>
    </xf>
    <xf numFmtId="17" fontId="63" fillId="0" borderId="41" xfId="0" applyNumberFormat="1" applyFont="1" applyBorder="1" applyAlignment="1">
      <alignment horizontal="left"/>
    </xf>
    <xf numFmtId="5" fontId="71" fillId="0" borderId="12" xfId="0" applyNumberFormat="1" applyFont="1" applyFill="1" applyBorder="1" applyAlignment="1">
      <alignment/>
    </xf>
    <xf numFmtId="5" fontId="71" fillId="0" borderId="42" xfId="0" applyNumberFormat="1" applyFont="1" applyBorder="1" applyAlignment="1">
      <alignment/>
    </xf>
    <xf numFmtId="0" fontId="63" fillId="0" borderId="43" xfId="0" applyFont="1" applyBorder="1" applyAlignment="1">
      <alignment/>
    </xf>
    <xf numFmtId="10" fontId="63" fillId="0" borderId="34" xfId="72" applyNumberFormat="1" applyFont="1" applyBorder="1" applyAlignment="1">
      <alignment/>
    </xf>
    <xf numFmtId="0" fontId="63" fillId="0" borderId="44" xfId="0" applyFont="1" applyBorder="1" applyAlignment="1">
      <alignment/>
    </xf>
    <xf numFmtId="44" fontId="63" fillId="0" borderId="0" xfId="0" applyNumberFormat="1" applyFont="1" applyAlignment="1">
      <alignment/>
    </xf>
    <xf numFmtId="10" fontId="63" fillId="0" borderId="0" xfId="72" applyNumberFormat="1" applyFont="1" applyAlignment="1">
      <alignment/>
    </xf>
    <xf numFmtId="43" fontId="63" fillId="0" borderId="0" xfId="0" applyNumberFormat="1" applyFont="1" applyAlignment="1">
      <alignment/>
    </xf>
    <xf numFmtId="10" fontId="63" fillId="0" borderId="0" xfId="0" applyNumberFormat="1" applyFont="1" applyAlignment="1">
      <alignment/>
    </xf>
    <xf numFmtId="165" fontId="71" fillId="0" borderId="0" xfId="42" applyNumberFormat="1" applyFont="1" applyBorder="1" applyAlignment="1">
      <alignment/>
    </xf>
    <xf numFmtId="42" fontId="63" fillId="0" borderId="0" xfId="0" applyNumberFormat="1" applyFont="1" applyAlignment="1">
      <alignment/>
    </xf>
    <xf numFmtId="43" fontId="63" fillId="0" borderId="0" xfId="42" applyFont="1" applyAlignment="1">
      <alignment/>
    </xf>
    <xf numFmtId="43" fontId="71" fillId="0" borderId="0" xfId="42" applyNumberFormat="1" applyFont="1" applyBorder="1" applyAlignment="1">
      <alignment/>
    </xf>
    <xf numFmtId="166" fontId="63" fillId="0" borderId="0" xfId="44" applyNumberFormat="1" applyFont="1" applyAlignment="1">
      <alignment/>
    </xf>
    <xf numFmtId="0" fontId="64" fillId="0" borderId="0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8" fillId="0" borderId="45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42" fontId="12" fillId="33" borderId="10" xfId="42" applyNumberFormat="1" applyFont="1" applyFill="1" applyBorder="1" applyAlignment="1">
      <alignment/>
    </xf>
    <xf numFmtId="42" fontId="12" fillId="33" borderId="10" xfId="0" applyNumberFormat="1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yperlink" xfId="64"/>
    <cellStyle name="Input" xfId="65"/>
    <cellStyle name="Linked Cell" xfId="66"/>
    <cellStyle name="Neutral" xfId="67"/>
    <cellStyle name="Normal_Auto Fin Austin IS to Cash Flow Projection" xfId="68"/>
    <cellStyle name="Normal_SPREAD4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LOSS%20ANALYSIS\Bench2005\Bench2005mos36\Netlo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</sheetNames>
    <sheetDataSet>
      <sheetData sheetId="0">
        <row r="2">
          <cell r="A2" t="str">
            <v>Jan 2002</v>
          </cell>
          <cell r="B2">
            <v>186407.71875</v>
          </cell>
          <cell r="C2">
            <v>11895.3046875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6943.93994140625</v>
          </cell>
          <cell r="I2">
            <v>6860.7841796875</v>
          </cell>
          <cell r="J2">
            <v>0</v>
          </cell>
          <cell r="K2">
            <v>7436.39990234375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-6623.60009765625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</row>
        <row r="3">
          <cell r="A3" t="str">
            <v>Feb 2002</v>
          </cell>
          <cell r="B3">
            <v>274323.53125</v>
          </cell>
          <cell r="C3">
            <v>6608.7197265625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3045.159912109375</v>
          </cell>
          <cell r="M3">
            <v>7255.5400390625</v>
          </cell>
          <cell r="N3">
            <v>0</v>
          </cell>
          <cell r="O3">
            <v>5401.5400390625</v>
          </cell>
          <cell r="P3">
            <v>12745.19921875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6148.60986328125</v>
          </cell>
          <cell r="W3">
            <v>0</v>
          </cell>
          <cell r="X3">
            <v>0</v>
          </cell>
          <cell r="Y3">
            <v>4597.75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A4" t="str">
            <v>Mar 2002</v>
          </cell>
          <cell r="B4">
            <v>1133856.25</v>
          </cell>
          <cell r="C4">
            <v>0</v>
          </cell>
          <cell r="D4">
            <v>0</v>
          </cell>
          <cell r="E4">
            <v>4742.64013671875</v>
          </cell>
          <cell r="F4">
            <v>0</v>
          </cell>
          <cell r="G4">
            <v>23426.33984375</v>
          </cell>
          <cell r="H4">
            <v>16329.55078125</v>
          </cell>
          <cell r="I4">
            <v>16098.759765625</v>
          </cell>
          <cell r="J4">
            <v>27013.51953125</v>
          </cell>
          <cell r="K4">
            <v>5889.2001953125</v>
          </cell>
          <cell r="L4">
            <v>15017.6298828125</v>
          </cell>
          <cell r="M4">
            <v>12447.7099609375</v>
          </cell>
          <cell r="N4">
            <v>20474.310546875</v>
          </cell>
          <cell r="O4">
            <v>6442.39990234375</v>
          </cell>
          <cell r="P4">
            <v>0</v>
          </cell>
          <cell r="Q4">
            <v>3203.8798828125</v>
          </cell>
          <cell r="R4">
            <v>14642.3505859375</v>
          </cell>
          <cell r="S4">
            <v>948.830078125</v>
          </cell>
          <cell r="T4">
            <v>13441.1201171875</v>
          </cell>
          <cell r="U4">
            <v>2526.47998046875</v>
          </cell>
          <cell r="V4">
            <v>12066.73046875</v>
          </cell>
          <cell r="W4">
            <v>5368.240234375</v>
          </cell>
          <cell r="X4">
            <v>6571.66015625</v>
          </cell>
          <cell r="Y4">
            <v>4074.419921875</v>
          </cell>
          <cell r="Z4">
            <v>250</v>
          </cell>
          <cell r="AA4">
            <v>5537.2900390625</v>
          </cell>
          <cell r="AB4">
            <v>0</v>
          </cell>
          <cell r="AC4">
            <v>0</v>
          </cell>
          <cell r="AD4">
            <v>0</v>
          </cell>
          <cell r="AE4">
            <v>2455.860107421875</v>
          </cell>
          <cell r="AF4">
            <v>2699.510009765625</v>
          </cell>
          <cell r="AG4">
            <v>0</v>
          </cell>
          <cell r="AH4">
            <v>1696.449951171875</v>
          </cell>
          <cell r="AI4">
            <v>0</v>
          </cell>
          <cell r="AJ4">
            <v>0</v>
          </cell>
          <cell r="AK4">
            <v>0</v>
          </cell>
          <cell r="AL4">
            <v>166.42999267578125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</row>
        <row r="5">
          <cell r="A5" t="str">
            <v>Apr 2002</v>
          </cell>
          <cell r="B5">
            <v>918995.5</v>
          </cell>
          <cell r="C5">
            <v>0</v>
          </cell>
          <cell r="D5">
            <v>2808.010009765625</v>
          </cell>
          <cell r="E5">
            <v>0</v>
          </cell>
          <cell r="F5">
            <v>2736.35009765625</v>
          </cell>
          <cell r="G5">
            <v>10693.4296875</v>
          </cell>
          <cell r="H5">
            <v>13572.740234375</v>
          </cell>
          <cell r="I5">
            <v>10671.0498046875</v>
          </cell>
          <cell r="J5">
            <v>0</v>
          </cell>
          <cell r="K5">
            <v>28416.21875</v>
          </cell>
          <cell r="L5">
            <v>0</v>
          </cell>
          <cell r="M5">
            <v>10596.4599609375</v>
          </cell>
          <cell r="N5">
            <v>7990.93017578125</v>
          </cell>
          <cell r="O5">
            <v>6385.47998046875</v>
          </cell>
          <cell r="P5">
            <v>0</v>
          </cell>
          <cell r="Q5">
            <v>9775.9599609375</v>
          </cell>
          <cell r="R5">
            <v>2767.159912109375</v>
          </cell>
          <cell r="S5">
            <v>7035.64013671875</v>
          </cell>
          <cell r="T5">
            <v>0</v>
          </cell>
          <cell r="U5">
            <v>3146.050048828125</v>
          </cell>
          <cell r="V5">
            <v>4182.2001953125</v>
          </cell>
          <cell r="W5">
            <v>8841.55078125</v>
          </cell>
          <cell r="X5">
            <v>0</v>
          </cell>
          <cell r="Y5">
            <v>0</v>
          </cell>
          <cell r="Z5">
            <v>3435.780029296875</v>
          </cell>
          <cell r="AA5">
            <v>0</v>
          </cell>
          <cell r="AB5">
            <v>2506.18994140625</v>
          </cell>
          <cell r="AC5">
            <v>4277.7998046875</v>
          </cell>
          <cell r="AD5">
            <v>7313.0302734375</v>
          </cell>
          <cell r="AE5">
            <v>4094.6201171875</v>
          </cell>
          <cell r="AF5">
            <v>0</v>
          </cell>
          <cell r="AG5">
            <v>7254.1298828125</v>
          </cell>
          <cell r="AH5">
            <v>0</v>
          </cell>
          <cell r="AI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May 2002</v>
          </cell>
          <cell r="B6">
            <v>875695.6875</v>
          </cell>
          <cell r="C6">
            <v>0</v>
          </cell>
          <cell r="D6">
            <v>5861.18017578125</v>
          </cell>
          <cell r="E6">
            <v>1344.1700439453125</v>
          </cell>
          <cell r="F6">
            <v>7229.7998046875</v>
          </cell>
          <cell r="G6">
            <v>9438.169921875</v>
          </cell>
          <cell r="H6">
            <v>8500.900390625</v>
          </cell>
          <cell r="I6">
            <v>7202.2998046875</v>
          </cell>
          <cell r="J6">
            <v>18533.73046875</v>
          </cell>
          <cell r="K6">
            <v>14911.48046875</v>
          </cell>
          <cell r="L6">
            <v>16560.05078125</v>
          </cell>
          <cell r="M6">
            <v>3761.5</v>
          </cell>
          <cell r="N6">
            <v>6410.4599609375</v>
          </cell>
          <cell r="O6">
            <v>18766.169921875</v>
          </cell>
          <cell r="P6">
            <v>3259</v>
          </cell>
          <cell r="Q6">
            <v>0</v>
          </cell>
          <cell r="R6">
            <v>3217.330078125</v>
          </cell>
          <cell r="S6">
            <v>0</v>
          </cell>
          <cell r="T6">
            <v>5628.490234375</v>
          </cell>
          <cell r="U6">
            <v>0</v>
          </cell>
          <cell r="V6">
            <v>0</v>
          </cell>
          <cell r="W6">
            <v>3966.7900390625</v>
          </cell>
          <cell r="X6">
            <v>3321.760009765625</v>
          </cell>
          <cell r="Y6">
            <v>1653.77001953125</v>
          </cell>
          <cell r="Z6">
            <v>0</v>
          </cell>
          <cell r="AA6">
            <v>0</v>
          </cell>
          <cell r="AB6">
            <v>4398</v>
          </cell>
          <cell r="AC6">
            <v>0</v>
          </cell>
          <cell r="AD6">
            <v>0</v>
          </cell>
          <cell r="AE6">
            <v>3515.10986328125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A7" t="str">
            <v>Jun 2002</v>
          </cell>
          <cell r="B7">
            <v>865151.5625</v>
          </cell>
          <cell r="C7">
            <v>0</v>
          </cell>
          <cell r="D7">
            <v>10370.8046875</v>
          </cell>
          <cell r="E7">
            <v>3673.340087890625</v>
          </cell>
          <cell r="F7">
            <v>11649.51953125</v>
          </cell>
          <cell r="G7">
            <v>11340.349609375</v>
          </cell>
          <cell r="H7">
            <v>3704.990234375</v>
          </cell>
          <cell r="I7">
            <v>20801.48046875</v>
          </cell>
          <cell r="J7">
            <v>5997.35986328125</v>
          </cell>
          <cell r="K7">
            <v>16964.41015625</v>
          </cell>
          <cell r="L7">
            <v>48456.6875</v>
          </cell>
          <cell r="M7">
            <v>3890.590087890625</v>
          </cell>
          <cell r="N7">
            <v>9262.8603515625</v>
          </cell>
          <cell r="O7">
            <v>3022.360107421875</v>
          </cell>
          <cell r="P7">
            <v>0</v>
          </cell>
          <cell r="Q7">
            <v>32269.830078125</v>
          </cell>
          <cell r="R7">
            <v>9368.080078125</v>
          </cell>
          <cell r="S7">
            <v>3276.68994140625</v>
          </cell>
          <cell r="T7">
            <v>4715.2998046875</v>
          </cell>
          <cell r="U7">
            <v>0</v>
          </cell>
          <cell r="V7">
            <v>0</v>
          </cell>
          <cell r="W7">
            <v>2690.320068359375</v>
          </cell>
          <cell r="X7">
            <v>2485.760009765625</v>
          </cell>
          <cell r="Y7">
            <v>19170.80078125</v>
          </cell>
          <cell r="Z7">
            <v>0</v>
          </cell>
          <cell r="AA7">
            <v>0</v>
          </cell>
          <cell r="AB7">
            <v>773.8499755859375</v>
          </cell>
          <cell r="AC7">
            <v>3033.7900390625</v>
          </cell>
          <cell r="AD7">
            <v>0</v>
          </cell>
          <cell r="AE7">
            <v>0</v>
          </cell>
          <cell r="AF7">
            <v>2047.880126953125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</row>
        <row r="8">
          <cell r="A8" t="str">
            <v>Jul 2002</v>
          </cell>
          <cell r="B8">
            <v>701995.125</v>
          </cell>
          <cell r="C8">
            <v>0</v>
          </cell>
          <cell r="D8">
            <v>0</v>
          </cell>
          <cell r="E8">
            <v>0</v>
          </cell>
          <cell r="F8">
            <v>6331.02001953125</v>
          </cell>
          <cell r="G8">
            <v>17329.171875</v>
          </cell>
          <cell r="H8">
            <v>15768.390625</v>
          </cell>
          <cell r="I8">
            <v>4197.10986328125</v>
          </cell>
          <cell r="J8">
            <v>0</v>
          </cell>
          <cell r="K8">
            <v>6692</v>
          </cell>
          <cell r="L8">
            <v>0</v>
          </cell>
          <cell r="M8">
            <v>9179.58984375</v>
          </cell>
          <cell r="N8">
            <v>16064.509765625</v>
          </cell>
          <cell r="O8">
            <v>4309.16015625</v>
          </cell>
          <cell r="P8">
            <v>0</v>
          </cell>
          <cell r="Q8">
            <v>5209.41015625</v>
          </cell>
          <cell r="R8">
            <v>11279.5302734375</v>
          </cell>
          <cell r="S8">
            <v>20883.6015625</v>
          </cell>
          <cell r="T8">
            <v>6943.06005859375</v>
          </cell>
          <cell r="U8">
            <v>4968.18994140625</v>
          </cell>
          <cell r="V8">
            <v>0</v>
          </cell>
          <cell r="W8">
            <v>4902.1201171875</v>
          </cell>
          <cell r="X8">
            <v>3787.52001953125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4368.2099609375</v>
          </cell>
          <cell r="AF8">
            <v>958.8099975585938</v>
          </cell>
          <cell r="AG8">
            <v>0</v>
          </cell>
          <cell r="AH8">
            <v>2190.780029296875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</row>
        <row r="9">
          <cell r="A9" t="str">
            <v>Aug 2002</v>
          </cell>
          <cell r="B9">
            <v>883495.6875</v>
          </cell>
          <cell r="C9">
            <v>0</v>
          </cell>
          <cell r="D9">
            <v>0</v>
          </cell>
          <cell r="E9">
            <v>0</v>
          </cell>
          <cell r="F9">
            <v>5447.58984375</v>
          </cell>
          <cell r="G9">
            <v>61957.19921875</v>
          </cell>
          <cell r="H9">
            <v>8659.3203125</v>
          </cell>
          <cell r="I9">
            <v>10043.5498046875</v>
          </cell>
          <cell r="J9">
            <v>6163.3203125</v>
          </cell>
          <cell r="K9">
            <v>19629.40234375</v>
          </cell>
          <cell r="L9">
            <v>4666.27978515625</v>
          </cell>
          <cell r="M9">
            <v>8455.369140625</v>
          </cell>
          <cell r="N9">
            <v>2601.919921875</v>
          </cell>
          <cell r="O9">
            <v>13419.94921875</v>
          </cell>
          <cell r="P9">
            <v>11299.41015625</v>
          </cell>
          <cell r="Q9">
            <v>9658.580078125</v>
          </cell>
          <cell r="R9">
            <v>8191.60009765625</v>
          </cell>
          <cell r="S9">
            <v>17902.619140625</v>
          </cell>
          <cell r="T9">
            <v>11833.8203125</v>
          </cell>
          <cell r="U9">
            <v>5756.0498046875</v>
          </cell>
          <cell r="V9">
            <v>0</v>
          </cell>
          <cell r="W9">
            <v>2230.780029296875</v>
          </cell>
          <cell r="X9">
            <v>0</v>
          </cell>
          <cell r="Y9">
            <v>0</v>
          </cell>
          <cell r="Z9">
            <v>5859.7197265625</v>
          </cell>
          <cell r="AA9">
            <v>0</v>
          </cell>
          <cell r="AB9">
            <v>0</v>
          </cell>
          <cell r="AC9">
            <v>3129.329833984375</v>
          </cell>
          <cell r="AD9">
            <v>8055.759765625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A10" t="str">
            <v>Sep 2002</v>
          </cell>
          <cell r="B10">
            <v>824639.875</v>
          </cell>
          <cell r="C10">
            <v>0</v>
          </cell>
          <cell r="D10">
            <v>0</v>
          </cell>
          <cell r="E10">
            <v>4988.14013671875</v>
          </cell>
          <cell r="F10">
            <v>15334.169921875</v>
          </cell>
          <cell r="G10">
            <v>0</v>
          </cell>
          <cell r="H10">
            <v>14311.630859375</v>
          </cell>
          <cell r="I10">
            <v>0</v>
          </cell>
          <cell r="J10">
            <v>0</v>
          </cell>
          <cell r="K10">
            <v>0</v>
          </cell>
          <cell r="L10">
            <v>3502.1201171875</v>
          </cell>
          <cell r="M10">
            <v>3613.27001953125</v>
          </cell>
          <cell r="N10">
            <v>6797.02978515625</v>
          </cell>
          <cell r="O10">
            <v>10673.240234375</v>
          </cell>
          <cell r="P10">
            <v>19684.259765625</v>
          </cell>
          <cell r="Q10">
            <v>0</v>
          </cell>
          <cell r="R10">
            <v>0</v>
          </cell>
          <cell r="S10">
            <v>0</v>
          </cell>
          <cell r="T10">
            <v>6147.27978515625</v>
          </cell>
          <cell r="U10">
            <v>11786.76953125</v>
          </cell>
          <cell r="V10">
            <v>0</v>
          </cell>
          <cell r="W10">
            <v>1128.02001953125</v>
          </cell>
          <cell r="X10">
            <v>3225.610107421875</v>
          </cell>
          <cell r="Y10">
            <v>2611.6298828125</v>
          </cell>
          <cell r="Z10">
            <v>0</v>
          </cell>
          <cell r="AA10">
            <v>2270.97998046875</v>
          </cell>
          <cell r="AB10">
            <v>3131.510009765625</v>
          </cell>
          <cell r="AC10">
            <v>0</v>
          </cell>
          <cell r="AD10">
            <v>4944.85009765625</v>
          </cell>
          <cell r="AE10">
            <v>924.639892578125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 t="str">
            <v>Oct 2002</v>
          </cell>
          <cell r="B11">
            <v>1670257.75</v>
          </cell>
          <cell r="C11">
            <v>0</v>
          </cell>
          <cell r="D11">
            <v>0</v>
          </cell>
          <cell r="E11">
            <v>25809.09765625</v>
          </cell>
          <cell r="F11">
            <v>58821.18359375</v>
          </cell>
          <cell r="G11">
            <v>9764.6201171875</v>
          </cell>
          <cell r="H11">
            <v>24608.080078125</v>
          </cell>
          <cell r="I11">
            <v>22525.15234375</v>
          </cell>
          <cell r="J11">
            <v>19924.30078125</v>
          </cell>
          <cell r="K11">
            <v>17952.109375</v>
          </cell>
          <cell r="L11">
            <v>17144.720703125</v>
          </cell>
          <cell r="M11">
            <v>22703.830078125</v>
          </cell>
          <cell r="N11">
            <v>28331.109375</v>
          </cell>
          <cell r="O11">
            <v>6855.169921875</v>
          </cell>
          <cell r="P11">
            <v>11378</v>
          </cell>
          <cell r="Q11">
            <v>0</v>
          </cell>
          <cell r="R11">
            <v>9945.4296875</v>
          </cell>
          <cell r="S11">
            <v>13629.16015625</v>
          </cell>
          <cell r="T11">
            <v>5195.31005859375</v>
          </cell>
          <cell r="U11">
            <v>0</v>
          </cell>
          <cell r="V11">
            <v>2842.739990234375</v>
          </cell>
          <cell r="W11">
            <v>11405.2998046875</v>
          </cell>
          <cell r="X11">
            <v>0</v>
          </cell>
          <cell r="Y11">
            <v>0</v>
          </cell>
          <cell r="Z11">
            <v>7051.5</v>
          </cell>
          <cell r="AA11">
            <v>2456.860107421875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Nov 2002</v>
          </cell>
          <cell r="B12">
            <v>1043780.8125</v>
          </cell>
          <cell r="C12">
            <v>1400</v>
          </cell>
          <cell r="D12">
            <v>5579.359375</v>
          </cell>
          <cell r="E12">
            <v>3529.51953125</v>
          </cell>
          <cell r="F12">
            <v>0</v>
          </cell>
          <cell r="G12">
            <v>12922.400390625</v>
          </cell>
          <cell r="H12">
            <v>7303.2900390625</v>
          </cell>
          <cell r="I12">
            <v>22198.458984375</v>
          </cell>
          <cell r="J12">
            <v>0</v>
          </cell>
          <cell r="K12">
            <v>8789.6904296875</v>
          </cell>
          <cell r="L12">
            <v>16526.380859375</v>
          </cell>
          <cell r="M12">
            <v>17085.779296875</v>
          </cell>
          <cell r="N12">
            <v>0</v>
          </cell>
          <cell r="O12">
            <v>6790.43994140625</v>
          </cell>
          <cell r="P12">
            <v>0</v>
          </cell>
          <cell r="Q12">
            <v>11682.259765625</v>
          </cell>
          <cell r="R12">
            <v>21282.0703125</v>
          </cell>
          <cell r="S12">
            <v>4431.5</v>
          </cell>
          <cell r="T12">
            <v>800.2999877929688</v>
          </cell>
          <cell r="U12">
            <v>0</v>
          </cell>
          <cell r="V12">
            <v>116.16000366210938</v>
          </cell>
          <cell r="W12">
            <v>4351.25</v>
          </cell>
          <cell r="X12">
            <v>4459.85009765625</v>
          </cell>
          <cell r="Y12">
            <v>8278.75</v>
          </cell>
          <cell r="Z12">
            <v>3087.5400390625</v>
          </cell>
          <cell r="AA12">
            <v>7611.0498046875</v>
          </cell>
          <cell r="AB12">
            <v>3417.239990234375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</row>
        <row r="13">
          <cell r="A13" t="str">
            <v>Dec 2002</v>
          </cell>
          <cell r="B13">
            <v>1077391.25</v>
          </cell>
          <cell r="C13">
            <v>7292.9404296875</v>
          </cell>
          <cell r="D13">
            <v>13653</v>
          </cell>
          <cell r="E13">
            <v>0</v>
          </cell>
          <cell r="F13">
            <v>12088.009765625</v>
          </cell>
          <cell r="G13">
            <v>12368.9296875</v>
          </cell>
          <cell r="H13">
            <v>3168.47998046875</v>
          </cell>
          <cell r="I13">
            <v>8588.830078125</v>
          </cell>
          <cell r="J13">
            <v>14657.58984375</v>
          </cell>
          <cell r="K13">
            <v>6155.39990234375</v>
          </cell>
          <cell r="L13">
            <v>19519.580078125</v>
          </cell>
          <cell r="M13">
            <v>17333.71875</v>
          </cell>
          <cell r="N13">
            <v>6964.8701171875</v>
          </cell>
          <cell r="O13">
            <v>14440.75</v>
          </cell>
          <cell r="P13">
            <v>0</v>
          </cell>
          <cell r="Q13">
            <v>2392.699951171875</v>
          </cell>
          <cell r="R13">
            <v>3876.93994140625</v>
          </cell>
          <cell r="S13">
            <v>0</v>
          </cell>
          <cell r="T13">
            <v>6807.8896484375</v>
          </cell>
          <cell r="U13">
            <v>3128.1298828125</v>
          </cell>
          <cell r="V13">
            <v>0</v>
          </cell>
          <cell r="W13">
            <v>3939.300048828125</v>
          </cell>
          <cell r="X13">
            <v>0</v>
          </cell>
          <cell r="Y13">
            <v>2001.6400146484375</v>
          </cell>
          <cell r="Z13">
            <v>0</v>
          </cell>
          <cell r="AA13">
            <v>4565.18994140625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A14" t="str">
            <v>Jan 2003</v>
          </cell>
          <cell r="B14">
            <v>1871644.75</v>
          </cell>
          <cell r="C14">
            <v>1400</v>
          </cell>
          <cell r="D14">
            <v>3951.56005859375</v>
          </cell>
          <cell r="E14">
            <v>1400</v>
          </cell>
          <cell r="F14">
            <v>15354.75</v>
          </cell>
          <cell r="G14">
            <v>9590.98046875</v>
          </cell>
          <cell r="H14">
            <v>6480.5400390625</v>
          </cell>
          <cell r="I14">
            <v>13194.41015625</v>
          </cell>
          <cell r="J14">
            <v>6377.41015625</v>
          </cell>
          <cell r="K14">
            <v>32781.64453125</v>
          </cell>
          <cell r="L14">
            <v>37111.046875</v>
          </cell>
          <cell r="M14">
            <v>16989.630859375</v>
          </cell>
          <cell r="N14">
            <v>22497.029296875</v>
          </cell>
          <cell r="O14">
            <v>22278.220703125</v>
          </cell>
          <cell r="P14">
            <v>28985.48046875</v>
          </cell>
          <cell r="Q14">
            <v>11386.619140625</v>
          </cell>
          <cell r="R14">
            <v>9406.5</v>
          </cell>
          <cell r="S14">
            <v>9508.1201171875</v>
          </cell>
          <cell r="T14">
            <v>10638.41015625</v>
          </cell>
          <cell r="U14">
            <v>1571.8798828125</v>
          </cell>
          <cell r="V14">
            <v>18970.5703125</v>
          </cell>
          <cell r="W14">
            <v>9477.41015625</v>
          </cell>
          <cell r="X14">
            <v>8645.779296875</v>
          </cell>
          <cell r="Y14">
            <v>7281.5498046875</v>
          </cell>
          <cell r="Z14">
            <v>1825.530029296875</v>
          </cell>
          <cell r="AA14">
            <v>0</v>
          </cell>
          <cell r="AB14">
            <v>2537.300048828125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A15" t="str">
            <v>Feb 2003</v>
          </cell>
          <cell r="B15">
            <v>2758951</v>
          </cell>
          <cell r="C15">
            <v>8086.119140625</v>
          </cell>
          <cell r="D15">
            <v>0</v>
          </cell>
          <cell r="E15">
            <v>53528.37109375</v>
          </cell>
          <cell r="F15">
            <v>21090.4609375</v>
          </cell>
          <cell r="G15">
            <v>18402.33984375</v>
          </cell>
          <cell r="H15">
            <v>21335.060546875</v>
          </cell>
          <cell r="I15">
            <v>10667.8291015625</v>
          </cell>
          <cell r="J15">
            <v>17012.98046875</v>
          </cell>
          <cell r="K15">
            <v>26591.87890625</v>
          </cell>
          <cell r="L15">
            <v>29459.7109375</v>
          </cell>
          <cell r="M15">
            <v>55557.6328125</v>
          </cell>
          <cell r="N15">
            <v>20153.458984375</v>
          </cell>
          <cell r="O15">
            <v>38495.78125</v>
          </cell>
          <cell r="P15">
            <v>11067.8701171875</v>
          </cell>
          <cell r="Q15">
            <v>14996.400390625</v>
          </cell>
          <cell r="R15">
            <v>10498.58984375</v>
          </cell>
          <cell r="S15">
            <v>10185.98046875</v>
          </cell>
          <cell r="T15">
            <v>11369.5</v>
          </cell>
          <cell r="U15">
            <v>12399.830078125</v>
          </cell>
          <cell r="V15">
            <v>8511.01953125</v>
          </cell>
          <cell r="W15">
            <v>17462.9296875</v>
          </cell>
          <cell r="X15">
            <v>7405.10986328125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 t="str">
            <v>Mar 2003</v>
          </cell>
          <cell r="B16">
            <v>2707875</v>
          </cell>
          <cell r="C16">
            <v>5466.43017578125</v>
          </cell>
          <cell r="D16">
            <v>1400</v>
          </cell>
          <cell r="E16">
            <v>1990.050048828125</v>
          </cell>
          <cell r="F16">
            <v>43295.53125</v>
          </cell>
          <cell r="G16">
            <v>32744.599609375</v>
          </cell>
          <cell r="H16">
            <v>63379.0703125</v>
          </cell>
          <cell r="I16">
            <v>21161.73828125</v>
          </cell>
          <cell r="J16">
            <v>36937.359375</v>
          </cell>
          <cell r="K16">
            <v>57141.60546875</v>
          </cell>
          <cell r="L16">
            <v>39120.953125</v>
          </cell>
          <cell r="M16">
            <v>29600.7890625</v>
          </cell>
          <cell r="N16">
            <v>28944.791015625</v>
          </cell>
          <cell r="O16">
            <v>6210.65966796875</v>
          </cell>
          <cell r="P16">
            <v>17043.1796875</v>
          </cell>
          <cell r="Q16">
            <v>18648.150390625</v>
          </cell>
          <cell r="R16">
            <v>475.8500061035156</v>
          </cell>
          <cell r="S16">
            <v>2177.0400390625</v>
          </cell>
          <cell r="T16">
            <v>5354.080078125</v>
          </cell>
          <cell r="U16">
            <v>4614.48974609375</v>
          </cell>
          <cell r="V16">
            <v>0</v>
          </cell>
          <cell r="W16">
            <v>4489.23046875</v>
          </cell>
          <cell r="X16">
            <v>7621.0498046875</v>
          </cell>
          <cell r="Y16">
            <v>0</v>
          </cell>
          <cell r="Z16">
            <v>2256.010009765625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Apr 2003</v>
          </cell>
          <cell r="B17">
            <v>2498936.5</v>
          </cell>
          <cell r="C17">
            <v>0</v>
          </cell>
          <cell r="D17">
            <v>0</v>
          </cell>
          <cell r="E17">
            <v>1399</v>
          </cell>
          <cell r="F17">
            <v>42074.2265625</v>
          </cell>
          <cell r="G17">
            <v>33021.71875</v>
          </cell>
          <cell r="H17">
            <v>9229.009765625</v>
          </cell>
          <cell r="I17">
            <v>52953.66015625</v>
          </cell>
          <cell r="J17">
            <v>76232.8671875</v>
          </cell>
          <cell r="K17">
            <v>19548.568359375</v>
          </cell>
          <cell r="L17">
            <v>27509.28125</v>
          </cell>
          <cell r="M17">
            <v>8133.2197265625</v>
          </cell>
          <cell r="N17">
            <v>4494.84033203125</v>
          </cell>
          <cell r="O17">
            <v>0</v>
          </cell>
          <cell r="P17">
            <v>15888.6796875</v>
          </cell>
          <cell r="Q17">
            <v>14218.189453125</v>
          </cell>
          <cell r="R17">
            <v>6032.5302734375</v>
          </cell>
          <cell r="S17">
            <v>8594.849609375</v>
          </cell>
          <cell r="T17">
            <v>6739.0205078125</v>
          </cell>
          <cell r="U17">
            <v>9743.849609375</v>
          </cell>
          <cell r="V17">
            <v>7361.2900390625</v>
          </cell>
          <cell r="W17">
            <v>5878.2802734375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A18" t="str">
            <v>May 2003</v>
          </cell>
          <cell r="B18">
            <v>3176557.5</v>
          </cell>
          <cell r="C18">
            <v>0</v>
          </cell>
          <cell r="D18">
            <v>1400</v>
          </cell>
          <cell r="E18">
            <v>22192.419921875</v>
          </cell>
          <cell r="F18">
            <v>55526.7578125</v>
          </cell>
          <cell r="G18">
            <v>51386.74609375</v>
          </cell>
          <cell r="H18">
            <v>37350.3125</v>
          </cell>
          <cell r="I18">
            <v>63446.453125</v>
          </cell>
          <cell r="J18">
            <v>64755.359375</v>
          </cell>
          <cell r="K18">
            <v>36341.94140625</v>
          </cell>
          <cell r="L18">
            <v>21264.01953125</v>
          </cell>
          <cell r="M18">
            <v>12966.7998046875</v>
          </cell>
          <cell r="N18">
            <v>23348.80859375</v>
          </cell>
          <cell r="O18">
            <v>21226.529296875</v>
          </cell>
          <cell r="P18">
            <v>5329.25</v>
          </cell>
          <cell r="Q18">
            <v>7810.75</v>
          </cell>
          <cell r="R18">
            <v>17389.521484375</v>
          </cell>
          <cell r="S18">
            <v>15390.8203125</v>
          </cell>
          <cell r="T18">
            <v>6940.8203125</v>
          </cell>
          <cell r="U18">
            <v>6162.10009765625</v>
          </cell>
          <cell r="V18">
            <v>11217.0498046875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 t="str">
            <v>Jun 2003</v>
          </cell>
          <cell r="B19">
            <v>3103075.75</v>
          </cell>
          <cell r="C19">
            <v>0</v>
          </cell>
          <cell r="D19">
            <v>36458.0390625</v>
          </cell>
          <cell r="E19">
            <v>43529.08203125</v>
          </cell>
          <cell r="F19">
            <v>0</v>
          </cell>
          <cell r="G19">
            <v>83224.5078125</v>
          </cell>
          <cell r="H19">
            <v>13398.16015625</v>
          </cell>
          <cell r="I19">
            <v>17269.330078125</v>
          </cell>
          <cell r="J19">
            <v>29598.138671875</v>
          </cell>
          <cell r="K19">
            <v>32924.91015625</v>
          </cell>
          <cell r="L19">
            <v>8026.259765625</v>
          </cell>
          <cell r="M19">
            <v>22853.94921875</v>
          </cell>
          <cell r="N19">
            <v>20099.880859375</v>
          </cell>
          <cell r="O19">
            <v>0</v>
          </cell>
          <cell r="P19">
            <v>10705.9697265625</v>
          </cell>
          <cell r="Q19">
            <v>21445.548828125</v>
          </cell>
          <cell r="R19">
            <v>9934.26953125</v>
          </cell>
          <cell r="S19">
            <v>2273.139892578125</v>
          </cell>
          <cell r="T19">
            <v>12904.8603515625</v>
          </cell>
          <cell r="U19">
            <v>4421.75</v>
          </cell>
          <cell r="V19">
            <v>1862.4200439453125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Jul 2003</v>
          </cell>
          <cell r="B20">
            <v>2959756.75</v>
          </cell>
          <cell r="C20">
            <v>0</v>
          </cell>
          <cell r="D20">
            <v>0</v>
          </cell>
          <cell r="E20">
            <v>0</v>
          </cell>
          <cell r="F20">
            <v>21282.69921875</v>
          </cell>
          <cell r="G20">
            <v>3779.66015625</v>
          </cell>
          <cell r="H20">
            <v>22416.12890625</v>
          </cell>
          <cell r="I20">
            <v>5999.39990234375</v>
          </cell>
          <cell r="J20">
            <v>13685.0390625</v>
          </cell>
          <cell r="K20">
            <v>16925.201171875</v>
          </cell>
          <cell r="L20">
            <v>21898.48046875</v>
          </cell>
          <cell r="M20">
            <v>4655.25</v>
          </cell>
          <cell r="N20">
            <v>7952.6103515625</v>
          </cell>
          <cell r="O20">
            <v>12964.0390625</v>
          </cell>
          <cell r="P20">
            <v>5513.759765625</v>
          </cell>
          <cell r="Q20">
            <v>23704.369140625</v>
          </cell>
          <cell r="R20">
            <v>7940.3798828125</v>
          </cell>
          <cell r="S20">
            <v>23535.05859375</v>
          </cell>
          <cell r="T20">
            <v>25063.310546875</v>
          </cell>
          <cell r="U20">
            <v>5480.10009765625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Aug 2003</v>
          </cell>
          <cell r="B21">
            <v>3186030</v>
          </cell>
          <cell r="C21">
            <v>0</v>
          </cell>
          <cell r="D21">
            <v>2795.580078125</v>
          </cell>
          <cell r="E21">
            <v>48079.125</v>
          </cell>
          <cell r="F21">
            <v>41765.76171875</v>
          </cell>
          <cell r="G21">
            <v>19582.359375</v>
          </cell>
          <cell r="H21">
            <v>22164.900390625</v>
          </cell>
          <cell r="I21">
            <v>0</v>
          </cell>
          <cell r="J21">
            <v>24705.6484375</v>
          </cell>
          <cell r="K21">
            <v>16274.119140625</v>
          </cell>
          <cell r="L21">
            <v>6889.51025390625</v>
          </cell>
          <cell r="M21">
            <v>17450.80078125</v>
          </cell>
          <cell r="N21">
            <v>30586.318359375</v>
          </cell>
          <cell r="O21">
            <v>24040.990234375</v>
          </cell>
          <cell r="P21">
            <v>12877.2607421875</v>
          </cell>
          <cell r="Q21">
            <v>32761.390625</v>
          </cell>
          <cell r="R21">
            <v>19681.4296875</v>
          </cell>
          <cell r="S21">
            <v>0</v>
          </cell>
          <cell r="T21">
            <v>15375.509765625</v>
          </cell>
          <cell r="U21">
            <v>3175.35009765625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>Sep 2003</v>
          </cell>
          <cell r="B22">
            <v>2803306.5</v>
          </cell>
          <cell r="C22">
            <v>0</v>
          </cell>
          <cell r="D22">
            <v>1406.5999755859375</v>
          </cell>
          <cell r="E22">
            <v>17761.388671875</v>
          </cell>
          <cell r="F22">
            <v>0</v>
          </cell>
          <cell r="G22">
            <v>40216.98046875</v>
          </cell>
          <cell r="H22">
            <v>7375.72021484375</v>
          </cell>
          <cell r="I22">
            <v>14490.2900390625</v>
          </cell>
          <cell r="J22">
            <v>18033.859375</v>
          </cell>
          <cell r="K22">
            <v>14168.6103515625</v>
          </cell>
          <cell r="L22">
            <v>4483.81005859375</v>
          </cell>
          <cell r="M22">
            <v>12922.150390625</v>
          </cell>
          <cell r="N22">
            <v>11693.7802734375</v>
          </cell>
          <cell r="O22">
            <v>20693.390625</v>
          </cell>
          <cell r="P22">
            <v>2299.5</v>
          </cell>
          <cell r="Q22">
            <v>3792.580078125</v>
          </cell>
          <cell r="R22">
            <v>5877.830078125</v>
          </cell>
          <cell r="S22">
            <v>0</v>
          </cell>
          <cell r="T22">
            <v>1401.75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A23" t="str">
            <v>Oct 2003</v>
          </cell>
          <cell r="B23">
            <v>3208672.25</v>
          </cell>
          <cell r="C23">
            <v>6253.83984375</v>
          </cell>
          <cell r="D23">
            <v>0</v>
          </cell>
          <cell r="E23">
            <v>2824.3798828125</v>
          </cell>
          <cell r="F23">
            <v>10636.419921875</v>
          </cell>
          <cell r="G23">
            <v>14190.3603515625</v>
          </cell>
          <cell r="H23">
            <v>2532.27001953125</v>
          </cell>
          <cell r="I23">
            <v>19168.7421875</v>
          </cell>
          <cell r="J23">
            <v>28281.16015625</v>
          </cell>
          <cell r="K23">
            <v>37880.9375</v>
          </cell>
          <cell r="L23">
            <v>27987.37109375</v>
          </cell>
          <cell r="M23">
            <v>12378.791015625</v>
          </cell>
          <cell r="N23">
            <v>14934.7900390625</v>
          </cell>
          <cell r="O23">
            <v>20756.599609375</v>
          </cell>
          <cell r="P23">
            <v>15995.4296875</v>
          </cell>
          <cell r="Q23">
            <v>5809.18994140625</v>
          </cell>
          <cell r="R23">
            <v>8587.9599609375</v>
          </cell>
          <cell r="S23">
            <v>9128.3701171875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A24" t="str">
            <v>Nov 2003</v>
          </cell>
          <cell r="B24">
            <v>2038588.625</v>
          </cell>
          <cell r="C24">
            <v>0</v>
          </cell>
          <cell r="D24">
            <v>4650.91015625</v>
          </cell>
          <cell r="E24">
            <v>7293.4296875</v>
          </cell>
          <cell r="F24">
            <v>11554.669921875</v>
          </cell>
          <cell r="G24">
            <v>8518.2998046875</v>
          </cell>
          <cell r="H24">
            <v>44250.28125</v>
          </cell>
          <cell r="I24">
            <v>22292.25</v>
          </cell>
          <cell r="J24">
            <v>20362.859375</v>
          </cell>
          <cell r="K24">
            <v>6460.7099609375</v>
          </cell>
          <cell r="L24">
            <v>24906.55859375</v>
          </cell>
          <cell r="M24">
            <v>10292.890625</v>
          </cell>
          <cell r="N24">
            <v>17846.099609375</v>
          </cell>
          <cell r="O24">
            <v>12180.6796875</v>
          </cell>
          <cell r="P24">
            <v>7928.51025390625</v>
          </cell>
          <cell r="Q24">
            <v>12264.2099609375</v>
          </cell>
          <cell r="R24">
            <v>9568.5498046875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Dec 2003</v>
          </cell>
          <cell r="B25">
            <v>1694928.75</v>
          </cell>
          <cell r="C25">
            <v>1395.9599609375</v>
          </cell>
          <cell r="D25">
            <v>1220.9000244140625</v>
          </cell>
          <cell r="E25">
            <v>7565.60009765625</v>
          </cell>
          <cell r="F25">
            <v>1445</v>
          </cell>
          <cell r="G25">
            <v>5022.8203125</v>
          </cell>
          <cell r="H25">
            <v>21649.5703125</v>
          </cell>
          <cell r="I25">
            <v>12577.0703125</v>
          </cell>
          <cell r="J25">
            <v>17325.94921875</v>
          </cell>
          <cell r="K25">
            <v>20586.8984375</v>
          </cell>
          <cell r="L25">
            <v>29173.48046875</v>
          </cell>
          <cell r="M25">
            <v>7572.7099609375</v>
          </cell>
          <cell r="N25">
            <v>6067.990234375</v>
          </cell>
          <cell r="O25">
            <v>2621.050048828125</v>
          </cell>
          <cell r="P25">
            <v>0</v>
          </cell>
          <cell r="Q25">
            <v>4423.2998046875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A26" t="str">
            <v>Jan 2004</v>
          </cell>
          <cell r="B26">
            <v>2044871.375</v>
          </cell>
          <cell r="C26">
            <v>0</v>
          </cell>
          <cell r="D26">
            <v>6901.2900390625</v>
          </cell>
          <cell r="E26">
            <v>7436.52001953125</v>
          </cell>
          <cell r="F26">
            <v>11514.759765625</v>
          </cell>
          <cell r="G26">
            <v>29476.880859375</v>
          </cell>
          <cell r="H26">
            <v>11281.25</v>
          </cell>
          <cell r="I26">
            <v>24438.453125</v>
          </cell>
          <cell r="J26">
            <v>53507.02734375</v>
          </cell>
          <cell r="K26">
            <v>18922.75</v>
          </cell>
          <cell r="L26">
            <v>39471.9765625</v>
          </cell>
          <cell r="M26">
            <v>23347.87890625</v>
          </cell>
          <cell r="N26">
            <v>43069.96875</v>
          </cell>
          <cell r="O26">
            <v>9382.5400390625</v>
          </cell>
          <cell r="P26">
            <v>11144.30078125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Feb 2004</v>
          </cell>
          <cell r="B27">
            <v>3209227.5</v>
          </cell>
          <cell r="C27">
            <v>0</v>
          </cell>
          <cell r="D27">
            <v>1400</v>
          </cell>
          <cell r="E27">
            <v>9433.41015625</v>
          </cell>
          <cell r="F27">
            <v>25817.41796875</v>
          </cell>
          <cell r="G27">
            <v>37553.73828125</v>
          </cell>
          <cell r="H27">
            <v>40356.0703125</v>
          </cell>
          <cell r="I27">
            <v>34059.8125</v>
          </cell>
          <cell r="J27">
            <v>62523.234375</v>
          </cell>
          <cell r="K27">
            <v>64201.0546875</v>
          </cell>
          <cell r="L27">
            <v>56979.93359375</v>
          </cell>
          <cell r="M27">
            <v>43353.36328125</v>
          </cell>
          <cell r="N27">
            <v>17900.521484375</v>
          </cell>
          <cell r="O27">
            <v>9363.5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Mar 2004</v>
          </cell>
          <cell r="B28">
            <v>3017835.25</v>
          </cell>
          <cell r="C28">
            <v>0</v>
          </cell>
          <cell r="D28">
            <v>10400.779296875</v>
          </cell>
          <cell r="E28">
            <v>0</v>
          </cell>
          <cell r="F28">
            <v>9015.2001953125</v>
          </cell>
          <cell r="G28">
            <v>54394.98046875</v>
          </cell>
          <cell r="H28">
            <v>54866.203125</v>
          </cell>
          <cell r="I28">
            <v>28978.908203125</v>
          </cell>
          <cell r="J28">
            <v>53810.2578125</v>
          </cell>
          <cell r="K28">
            <v>25492.359375</v>
          </cell>
          <cell r="L28">
            <v>31161.798828125</v>
          </cell>
          <cell r="M28">
            <v>29371.80859375</v>
          </cell>
          <cell r="N28">
            <v>8693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Apr 2004</v>
          </cell>
          <cell r="B29">
            <v>2696298.75</v>
          </cell>
          <cell r="C29">
            <v>0</v>
          </cell>
          <cell r="D29">
            <v>4478.47998046875</v>
          </cell>
          <cell r="E29">
            <v>655.69921875</v>
          </cell>
          <cell r="F29">
            <v>12330.0703125</v>
          </cell>
          <cell r="G29">
            <v>29484.53125</v>
          </cell>
          <cell r="H29">
            <v>42573.80078125</v>
          </cell>
          <cell r="I29">
            <v>52038.5</v>
          </cell>
          <cell r="J29">
            <v>53284.98046875</v>
          </cell>
          <cell r="K29">
            <v>33454.72265625</v>
          </cell>
          <cell r="L29">
            <v>18230.76953125</v>
          </cell>
          <cell r="M29">
            <v>5441.02978515625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May 2004</v>
          </cell>
          <cell r="B30">
            <v>1979379</v>
          </cell>
          <cell r="C30">
            <v>0</v>
          </cell>
          <cell r="D30">
            <v>0</v>
          </cell>
          <cell r="E30">
            <v>9336.0498046875</v>
          </cell>
          <cell r="F30">
            <v>11957.58984375</v>
          </cell>
          <cell r="G30">
            <v>17102.01953125</v>
          </cell>
          <cell r="H30">
            <v>14224.869140625</v>
          </cell>
          <cell r="I30">
            <v>29783.330078125</v>
          </cell>
          <cell r="J30">
            <v>29014.421875</v>
          </cell>
          <cell r="K30">
            <v>16394.669921875</v>
          </cell>
          <cell r="L30">
            <v>4433.93017578125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 t="str">
            <v>Jun 2004</v>
          </cell>
          <cell r="B31">
            <v>2521062.75</v>
          </cell>
          <cell r="C31">
            <v>825.80078125</v>
          </cell>
          <cell r="D31">
            <v>8806.1396484375</v>
          </cell>
          <cell r="E31">
            <v>7756.150390625</v>
          </cell>
          <cell r="F31">
            <v>12290.6806640625</v>
          </cell>
          <cell r="G31">
            <v>53701.4296875</v>
          </cell>
          <cell r="H31">
            <v>17412.599609375</v>
          </cell>
          <cell r="I31">
            <v>28768.28125</v>
          </cell>
          <cell r="J31">
            <v>29006.259765625</v>
          </cell>
          <cell r="K31">
            <v>2486.510009765625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Jul 2004</v>
          </cell>
          <cell r="B32">
            <v>2220441.5</v>
          </cell>
          <cell r="C32">
            <v>0</v>
          </cell>
          <cell r="D32">
            <v>1344.41064453125</v>
          </cell>
          <cell r="E32">
            <v>3220</v>
          </cell>
          <cell r="F32">
            <v>5396.72021484375</v>
          </cell>
          <cell r="G32">
            <v>25849.41015625</v>
          </cell>
          <cell r="H32">
            <v>16033.30859375</v>
          </cell>
          <cell r="I32">
            <v>40834.12109375</v>
          </cell>
          <cell r="J32">
            <v>6954.240234375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Aug 2004</v>
          </cell>
          <cell r="B33">
            <v>2210941.25</v>
          </cell>
          <cell r="C33">
            <v>0</v>
          </cell>
          <cell r="D33">
            <v>1400</v>
          </cell>
          <cell r="E33">
            <v>12944.390625</v>
          </cell>
          <cell r="F33">
            <v>27084.58984375</v>
          </cell>
          <cell r="G33">
            <v>9038.6201171875</v>
          </cell>
          <cell r="H33">
            <v>11179.4501953125</v>
          </cell>
          <cell r="I33">
            <v>3926.699951171875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A34" t="str">
            <v>Sep 2004</v>
          </cell>
          <cell r="B34">
            <v>2217607.5</v>
          </cell>
          <cell r="C34">
            <v>-109.759765625</v>
          </cell>
          <cell r="D34">
            <v>1411.56005859375</v>
          </cell>
          <cell r="E34">
            <v>13038.6796875</v>
          </cell>
          <cell r="F34">
            <v>15625.2998046875</v>
          </cell>
          <cell r="G34">
            <v>16195.2802734375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Oct 2004</v>
          </cell>
          <cell r="B35">
            <v>2364341.25</v>
          </cell>
          <cell r="C35">
            <v>0</v>
          </cell>
          <cell r="D35">
            <v>-478.98974609375</v>
          </cell>
          <cell r="E35">
            <v>4443.7001953125</v>
          </cell>
          <cell r="F35">
            <v>6920.43994140625</v>
          </cell>
          <cell r="G35">
            <v>146.16000366210938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Nov 2004</v>
          </cell>
          <cell r="B36">
            <v>2277003</v>
          </cell>
          <cell r="C36">
            <v>0</v>
          </cell>
          <cell r="D36">
            <v>0</v>
          </cell>
          <cell r="E36">
            <v>5585.7998046875</v>
          </cell>
          <cell r="F36">
            <v>4859.89013671875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Dec 2004</v>
          </cell>
          <cell r="B37">
            <v>2058159.625</v>
          </cell>
          <cell r="C37">
            <v>0</v>
          </cell>
          <cell r="D37">
            <v>1362.8800048828125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Jan 2005</v>
          </cell>
          <cell r="B38">
            <v>1447638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Feb 2005</v>
          </cell>
          <cell r="B39">
            <v>2469090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Mar 2005</v>
          </cell>
          <cell r="B40">
            <v>312190.3125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Apr 2005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May 2005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Jun 2005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Jul 2005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Aug 2005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Sep 2005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Oct 2005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Nov 2005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>Dec 2005</v>
          </cell>
          <cell r="B49">
            <v>0</v>
          </cell>
          <cell r="C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8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9.140625" style="4" customWidth="1"/>
    <col min="2" max="2" width="51.28125" style="4" customWidth="1"/>
    <col min="3" max="3" width="26.28125" style="4" customWidth="1"/>
    <col min="4" max="4" width="19.8515625" style="4" customWidth="1"/>
    <col min="5" max="5" width="11.140625" style="4" bestFit="1" customWidth="1"/>
    <col min="6" max="6" width="12.8515625" style="4" customWidth="1"/>
    <col min="7" max="7" width="9.28125" style="4" bestFit="1" customWidth="1"/>
    <col min="8" max="16384" width="9.140625" style="4" customWidth="1"/>
  </cols>
  <sheetData>
    <row r="3" ht="12.75">
      <c r="B3" s="108" t="s">
        <v>265</v>
      </c>
    </row>
    <row r="4" ht="12.75">
      <c r="C4" s="87"/>
    </row>
    <row r="5" spans="2:3" ht="12.75">
      <c r="B5" s="4" t="s">
        <v>262</v>
      </c>
      <c r="C5" s="105" t="s">
        <v>254</v>
      </c>
    </row>
    <row r="6" ht="12.75">
      <c r="C6" s="87"/>
    </row>
    <row r="7" spans="3:4" ht="12.75">
      <c r="C7" s="87"/>
      <c r="D7" s="5"/>
    </row>
    <row r="8" spans="2:4" ht="12.75">
      <c r="B8" s="4" t="s">
        <v>263</v>
      </c>
      <c r="C8" s="104">
        <v>500000</v>
      </c>
      <c r="D8" s="5"/>
    </row>
    <row r="9" spans="3:4" ht="12.75">
      <c r="C9" s="87"/>
      <c r="D9" s="75"/>
    </row>
    <row r="10" spans="2:6" ht="12.75">
      <c r="B10" s="4" t="s">
        <v>70</v>
      </c>
      <c r="C10" s="106">
        <v>5000</v>
      </c>
      <c r="F10" s="5"/>
    </row>
    <row r="11" spans="2:6" ht="12.75">
      <c r="B11" s="4" t="s">
        <v>222</v>
      </c>
      <c r="C11" s="106">
        <v>500</v>
      </c>
      <c r="F11" s="5"/>
    </row>
    <row r="12" spans="2:6" ht="12.75">
      <c r="B12" s="4" t="s">
        <v>223</v>
      </c>
      <c r="C12" s="106">
        <v>10000</v>
      </c>
      <c r="F12" s="5"/>
    </row>
    <row r="13" spans="2:6" ht="12.75">
      <c r="B13" s="4" t="s">
        <v>71</v>
      </c>
      <c r="C13" s="107">
        <v>1000</v>
      </c>
      <c r="F13" s="5"/>
    </row>
    <row r="14" spans="2:6" ht="12.75">
      <c r="B14" s="4" t="s">
        <v>72</v>
      </c>
      <c r="C14" s="107">
        <f>C12-C13</f>
        <v>9000</v>
      </c>
      <c r="E14" s="5"/>
      <c r="F14" s="5"/>
    </row>
    <row r="15" spans="2:6" ht="12.75">
      <c r="B15" s="4" t="s">
        <v>220</v>
      </c>
      <c r="C15" s="92">
        <v>25</v>
      </c>
      <c r="F15" s="3"/>
    </row>
    <row r="16" spans="2:6" ht="12.75">
      <c r="B16" s="4" t="s">
        <v>73</v>
      </c>
      <c r="C16" s="93">
        <v>25</v>
      </c>
      <c r="E16" s="3"/>
      <c r="F16" s="3"/>
    </row>
    <row r="17" spans="2:6" ht="12.75">
      <c r="B17" s="4" t="s">
        <v>129</v>
      </c>
      <c r="C17" s="93">
        <v>25</v>
      </c>
      <c r="F17" s="3"/>
    </row>
    <row r="18" spans="2:6" ht="12.75" hidden="1">
      <c r="B18" s="4" t="s">
        <v>256</v>
      </c>
      <c r="C18" s="94">
        <v>0</v>
      </c>
      <c r="F18" s="3"/>
    </row>
    <row r="19" spans="2:6" ht="12.75" hidden="1">
      <c r="B19" s="4" t="s">
        <v>128</v>
      </c>
      <c r="C19" s="95">
        <v>0</v>
      </c>
      <c r="F19" s="3"/>
    </row>
    <row r="20" spans="2:6" ht="12.75" hidden="1">
      <c r="B20" s="4" t="s">
        <v>74</v>
      </c>
      <c r="C20" s="96">
        <v>0</v>
      </c>
      <c r="F20" s="6"/>
    </row>
    <row r="21" spans="2:6" ht="12.75" hidden="1">
      <c r="B21" s="4" t="s">
        <v>244</v>
      </c>
      <c r="C21" s="97">
        <v>0.08</v>
      </c>
      <c r="F21" s="7"/>
    </row>
    <row r="22" spans="2:6" ht="12.75">
      <c r="B22" s="4" t="s">
        <v>264</v>
      </c>
      <c r="C22" s="97">
        <v>0.08</v>
      </c>
      <c r="F22" s="7"/>
    </row>
    <row r="23" spans="2:6" ht="12.75">
      <c r="B23" s="4" t="s">
        <v>75</v>
      </c>
      <c r="C23" s="98">
        <v>0.0625</v>
      </c>
      <c r="F23" s="7"/>
    </row>
    <row r="24" spans="2:6" ht="12.75" hidden="1">
      <c r="B24" s="4" t="s">
        <v>257</v>
      </c>
      <c r="C24" s="99">
        <v>0</v>
      </c>
      <c r="F24" s="7"/>
    </row>
    <row r="25" spans="2:6" ht="12.75" hidden="1">
      <c r="B25" s="4" t="s">
        <v>76</v>
      </c>
      <c r="C25" s="100" t="s">
        <v>78</v>
      </c>
      <c r="F25" s="7"/>
    </row>
    <row r="26" spans="2:6" ht="12.75" hidden="1">
      <c r="B26" s="4" t="s">
        <v>77</v>
      </c>
      <c r="C26" s="100" t="s">
        <v>78</v>
      </c>
      <c r="E26" s="7"/>
      <c r="F26" s="7"/>
    </row>
    <row r="27" spans="2:6" ht="12.75">
      <c r="B27" s="4" t="s">
        <v>79</v>
      </c>
      <c r="C27" s="101">
        <v>36</v>
      </c>
      <c r="F27" s="7"/>
    </row>
    <row r="28" spans="2:6" ht="12.75">
      <c r="B28" s="4" t="s">
        <v>80</v>
      </c>
      <c r="C28" s="102">
        <v>0.18</v>
      </c>
      <c r="F28" s="7"/>
    </row>
    <row r="29" spans="2:6" ht="12.75">
      <c r="B29" s="4" t="s">
        <v>239</v>
      </c>
      <c r="C29" s="103">
        <v>0.25</v>
      </c>
      <c r="F29" s="7"/>
    </row>
    <row r="30" spans="2:6" ht="12.75" hidden="1">
      <c r="B30" s="4" t="s">
        <v>240</v>
      </c>
      <c r="C30" s="103">
        <v>0</v>
      </c>
      <c r="F30" s="7"/>
    </row>
    <row r="31" spans="2:6" ht="12.75" hidden="1">
      <c r="B31" s="4" t="s">
        <v>81</v>
      </c>
      <c r="C31" s="92">
        <v>0</v>
      </c>
      <c r="F31" s="2">
        <f>IF(C31=0,"","Estimated life   = "&amp;TEXT(C31,"000,000")&amp;"/"&amp;TEXT(C34,"00,000"))</f>
      </c>
    </row>
    <row r="32" spans="2:7" ht="12.75" hidden="1">
      <c r="B32" s="4" t="s">
        <v>82</v>
      </c>
      <c r="C32" s="96">
        <v>0</v>
      </c>
      <c r="G32" s="4">
        <f>IF(C31=0,""," = "&amp;TEXT(IF(C34=0,0,C31/C34),"00")&amp;" months.")</f>
      </c>
    </row>
    <row r="33" spans="2:6" ht="12.75" hidden="1">
      <c r="B33" s="4" t="s">
        <v>83</v>
      </c>
      <c r="C33" s="96">
        <v>0</v>
      </c>
      <c r="E33" s="73"/>
      <c r="F33" s="76"/>
    </row>
    <row r="34" spans="2:5" ht="12.75" hidden="1">
      <c r="B34" s="4" t="s">
        <v>139</v>
      </c>
      <c r="C34" s="96">
        <v>0</v>
      </c>
      <c r="E34" s="2"/>
    </row>
    <row r="35" spans="2:5" ht="12.75" hidden="1">
      <c r="B35" s="4" t="s">
        <v>84</v>
      </c>
      <c r="C35" s="92">
        <v>0</v>
      </c>
      <c r="E35" s="2"/>
    </row>
    <row r="36" spans="3:6" ht="12.75">
      <c r="C36" s="87"/>
      <c r="D36" s="7"/>
      <c r="F36" s="7"/>
    </row>
    <row r="37" ht="12.75">
      <c r="B37" s="113" t="s">
        <v>131</v>
      </c>
    </row>
    <row r="38" spans="1:2" ht="12.75">
      <c r="A38" s="77" t="s">
        <v>132</v>
      </c>
      <c r="B38" s="4" t="s">
        <v>205</v>
      </c>
    </row>
    <row r="39" spans="1:4" ht="12.75">
      <c r="A39" s="77" t="s">
        <v>133</v>
      </c>
      <c r="B39" s="4" t="s">
        <v>138</v>
      </c>
      <c r="D39" s="82"/>
    </row>
    <row r="40" spans="1:2" ht="12.75">
      <c r="A40" s="77" t="s">
        <v>134</v>
      </c>
      <c r="B40" s="4" t="s">
        <v>253</v>
      </c>
    </row>
    <row r="41" spans="1:2" ht="12.75">
      <c r="A41" s="77" t="s">
        <v>135</v>
      </c>
      <c r="B41" s="4" t="s">
        <v>224</v>
      </c>
    </row>
    <row r="42" spans="1:2" ht="12.75">
      <c r="A42" s="77" t="s">
        <v>136</v>
      </c>
      <c r="B42" s="4" t="s">
        <v>241</v>
      </c>
    </row>
    <row r="43" spans="1:2" ht="12.75">
      <c r="A43" s="77" t="s">
        <v>137</v>
      </c>
      <c r="B43" s="4" t="s">
        <v>245</v>
      </c>
    </row>
    <row r="44" ht="12.75">
      <c r="A44" s="77"/>
    </row>
    <row r="46" spans="1:3" ht="12.75">
      <c r="A46" s="4" t="s">
        <v>266</v>
      </c>
      <c r="C46" s="6"/>
    </row>
    <row r="47" ht="12.75">
      <c r="A47" s="4" t="s">
        <v>267</v>
      </c>
    </row>
    <row r="48" ht="12.75">
      <c r="A48" s="4" t="s">
        <v>268</v>
      </c>
    </row>
  </sheetData>
  <sheetProtection/>
  <printOptions/>
  <pageMargins left="0.25" right="0.25" top="0.75" bottom="0.75" header="0.5" footer="0.5"/>
  <pageSetup firstPageNumber="3" useFirstPageNumber="1" fitToHeight="1" fitToWidth="1" horizontalDpi="600" verticalDpi="600" orientation="portrait" pageOrder="overThenDown" scale="88" r:id="rId2"/>
  <headerFooter alignWithMargins="0">
    <oddHeader>&amp;C&amp;"Arial,Bold"Summary of Significant Assumptions and Accounting Policies Used in Preparing Projected Financial Statements</oddHeader>
    <oddFooter>&amp;L&amp;G&amp;C&amp;"Arial,Bold"&amp;11For management use only. Actual results will likely vary from projections.
Exhibit 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32"/>
  <sheetViews>
    <sheetView workbookViewId="0" topLeftCell="A1">
      <selection activeCell="E45" sqref="E45"/>
    </sheetView>
  </sheetViews>
  <sheetFormatPr defaultColWidth="9.140625" defaultRowHeight="12.75"/>
  <cols>
    <col min="1" max="1" width="3.140625" style="9" customWidth="1"/>
    <col min="2" max="4" width="3.00390625" style="21" customWidth="1"/>
    <col min="5" max="5" width="34.421875" style="21" customWidth="1"/>
    <col min="6" max="6" width="12.7109375" style="9" customWidth="1"/>
    <col min="7" max="8" width="14.140625" style="9" bestFit="1" customWidth="1"/>
    <col min="9" max="9" width="13.421875" style="9" bestFit="1" customWidth="1"/>
    <col min="10" max="10" width="14.140625" style="9" bestFit="1" customWidth="1"/>
    <col min="11" max="11" width="14.421875" style="9" bestFit="1" customWidth="1"/>
    <col min="12" max="12" width="15.57421875" style="9" bestFit="1" customWidth="1"/>
    <col min="13" max="13" width="15.57421875" style="69" bestFit="1" customWidth="1"/>
    <col min="14" max="14" width="15.421875" style="9" bestFit="1" customWidth="1"/>
    <col min="15" max="15" width="15.8515625" style="9" bestFit="1" customWidth="1"/>
    <col min="16" max="16" width="16.140625" style="9" bestFit="1" customWidth="1"/>
    <col min="17" max="25" width="12.7109375" style="9" bestFit="1" customWidth="1"/>
    <col min="26" max="26" width="13.57421875" style="9" bestFit="1" customWidth="1"/>
    <col min="27" max="30" width="12.7109375" style="9" bestFit="1" customWidth="1"/>
    <col min="31" max="42" width="12.7109375" style="9" customWidth="1"/>
    <col min="43" max="16384" width="9.140625" style="9" customWidth="1"/>
  </cols>
  <sheetData>
    <row r="2" ht="12.75">
      <c r="A2" s="11" t="str">
        <f>Assumptions!C5</f>
        <v>Sample Company</v>
      </c>
    </row>
    <row r="3" spans="1:13" ht="14.25" customHeight="1">
      <c r="A3" s="12"/>
      <c r="B3" s="78"/>
      <c r="E3" s="9"/>
      <c r="M3" s="9"/>
    </row>
    <row r="4" spans="1:42" ht="12.75" customHeight="1">
      <c r="A4" s="12"/>
      <c r="F4" s="54" t="s">
        <v>62</v>
      </c>
      <c r="G4" s="54" t="s">
        <v>20</v>
      </c>
      <c r="H4" s="54" t="s">
        <v>20</v>
      </c>
      <c r="I4" s="54" t="s">
        <v>20</v>
      </c>
      <c r="J4" s="54" t="s">
        <v>20</v>
      </c>
      <c r="K4" s="54" t="s">
        <v>20</v>
      </c>
      <c r="L4" s="54" t="s">
        <v>20</v>
      </c>
      <c r="M4" s="54" t="s">
        <v>20</v>
      </c>
      <c r="N4" s="54" t="s">
        <v>20</v>
      </c>
      <c r="O4" s="54" t="s">
        <v>20</v>
      </c>
      <c r="P4" s="54" t="s">
        <v>20</v>
      </c>
      <c r="Q4" s="54" t="s">
        <v>20</v>
      </c>
      <c r="R4" s="54" t="s">
        <v>20</v>
      </c>
      <c r="S4" s="54" t="s">
        <v>20</v>
      </c>
      <c r="T4" s="54" t="s">
        <v>20</v>
      </c>
      <c r="U4" s="54" t="s">
        <v>20</v>
      </c>
      <c r="V4" s="54" t="s">
        <v>20</v>
      </c>
      <c r="W4" s="54" t="s">
        <v>20</v>
      </c>
      <c r="X4" s="54" t="s">
        <v>20</v>
      </c>
      <c r="Y4" s="54" t="s">
        <v>20</v>
      </c>
      <c r="Z4" s="54" t="s">
        <v>20</v>
      </c>
      <c r="AA4" s="54" t="s">
        <v>20</v>
      </c>
      <c r="AB4" s="54" t="s">
        <v>20</v>
      </c>
      <c r="AC4" s="54" t="s">
        <v>20</v>
      </c>
      <c r="AD4" s="54" t="s">
        <v>20</v>
      </c>
      <c r="AE4" s="54" t="s">
        <v>20</v>
      </c>
      <c r="AF4" s="54" t="s">
        <v>20</v>
      </c>
      <c r="AG4" s="54" t="s">
        <v>20</v>
      </c>
      <c r="AH4" s="54" t="s">
        <v>20</v>
      </c>
      <c r="AI4" s="54" t="s">
        <v>20</v>
      </c>
      <c r="AJ4" s="54" t="s">
        <v>20</v>
      </c>
      <c r="AK4" s="54" t="s">
        <v>20</v>
      </c>
      <c r="AL4" s="54" t="s">
        <v>20</v>
      </c>
      <c r="AM4" s="54" t="s">
        <v>20</v>
      </c>
      <c r="AN4" s="54" t="s">
        <v>20</v>
      </c>
      <c r="AO4" s="54" t="s">
        <v>20</v>
      </c>
      <c r="AP4" s="54" t="s">
        <v>20</v>
      </c>
    </row>
    <row r="5" spans="1:42" s="57" customFormat="1" ht="12.75" customHeight="1">
      <c r="A5" s="13"/>
      <c r="B5" s="55"/>
      <c r="C5" s="55"/>
      <c r="D5" s="55"/>
      <c r="E5" s="55"/>
      <c r="F5" s="56" t="s">
        <v>63</v>
      </c>
      <c r="G5" s="56">
        <v>1</v>
      </c>
      <c r="H5" s="56">
        <f>G5+1</f>
        <v>2</v>
      </c>
      <c r="I5" s="56">
        <f aca="true" t="shared" si="0" ref="I5:AD5">H5+1</f>
        <v>3</v>
      </c>
      <c r="J5" s="56">
        <f t="shared" si="0"/>
        <v>4</v>
      </c>
      <c r="K5" s="56">
        <f t="shared" si="0"/>
        <v>5</v>
      </c>
      <c r="L5" s="56">
        <f t="shared" si="0"/>
        <v>6</v>
      </c>
      <c r="M5" s="56">
        <f t="shared" si="0"/>
        <v>7</v>
      </c>
      <c r="N5" s="56">
        <f t="shared" si="0"/>
        <v>8</v>
      </c>
      <c r="O5" s="56">
        <f t="shared" si="0"/>
        <v>9</v>
      </c>
      <c r="P5" s="56">
        <f t="shared" si="0"/>
        <v>10</v>
      </c>
      <c r="Q5" s="56">
        <f t="shared" si="0"/>
        <v>11</v>
      </c>
      <c r="R5" s="56">
        <f>Q5+1</f>
        <v>12</v>
      </c>
      <c r="S5" s="56">
        <f>R5+1</f>
        <v>13</v>
      </c>
      <c r="T5" s="56">
        <f t="shared" si="0"/>
        <v>14</v>
      </c>
      <c r="U5" s="56">
        <f t="shared" si="0"/>
        <v>15</v>
      </c>
      <c r="V5" s="56">
        <f>U5+1</f>
        <v>16</v>
      </c>
      <c r="W5" s="56">
        <f t="shared" si="0"/>
        <v>17</v>
      </c>
      <c r="X5" s="56">
        <f t="shared" si="0"/>
        <v>18</v>
      </c>
      <c r="Y5" s="56">
        <f t="shared" si="0"/>
        <v>19</v>
      </c>
      <c r="Z5" s="56">
        <f t="shared" si="0"/>
        <v>20</v>
      </c>
      <c r="AA5" s="56">
        <f t="shared" si="0"/>
        <v>21</v>
      </c>
      <c r="AB5" s="56">
        <f t="shared" si="0"/>
        <v>22</v>
      </c>
      <c r="AC5" s="56">
        <f t="shared" si="0"/>
        <v>23</v>
      </c>
      <c r="AD5" s="56">
        <f t="shared" si="0"/>
        <v>24</v>
      </c>
      <c r="AE5" s="56">
        <v>25</v>
      </c>
      <c r="AF5" s="56">
        <v>26</v>
      </c>
      <c r="AG5" s="56">
        <v>27</v>
      </c>
      <c r="AH5" s="56">
        <v>28</v>
      </c>
      <c r="AI5" s="56">
        <v>29</v>
      </c>
      <c r="AJ5" s="56">
        <v>30</v>
      </c>
      <c r="AK5" s="56">
        <v>31</v>
      </c>
      <c r="AL5" s="56">
        <v>32</v>
      </c>
      <c r="AM5" s="56">
        <v>33</v>
      </c>
      <c r="AN5" s="56">
        <v>34</v>
      </c>
      <c r="AO5" s="56">
        <v>35</v>
      </c>
      <c r="AP5" s="56">
        <v>36</v>
      </c>
    </row>
    <row r="6" spans="1:42" ht="12.75">
      <c r="A6" s="12"/>
      <c r="B6" s="58" t="s">
        <v>127</v>
      </c>
      <c r="F6" s="59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9"/>
      <c r="S6" s="59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</row>
    <row r="7" spans="1:42" ht="12.75">
      <c r="A7" s="12"/>
      <c r="D7" s="21" t="s">
        <v>0</v>
      </c>
      <c r="F7" s="109">
        <f>F20-F9</f>
        <v>375000</v>
      </c>
      <c r="G7" s="61">
        <f>ROUND('CF 36-month Projection'!I20,0)</f>
        <v>207334</v>
      </c>
      <c r="H7" s="61">
        <f>ROUND('CF 36-month Projection'!J20,0)</f>
        <v>45463</v>
      </c>
      <c r="I7" s="61">
        <f>ROUND('CF 36-month Projection'!K20,0)</f>
        <v>10000</v>
      </c>
      <c r="J7" s="61">
        <f>ROUND('CF 36-month Projection'!L20,0)</f>
        <v>10000</v>
      </c>
      <c r="K7" s="61">
        <f>ROUND('CF 36-month Projection'!M20,0)</f>
        <v>10000</v>
      </c>
      <c r="L7" s="61">
        <f>ROUND('CF 36-month Projection'!N20,0)</f>
        <v>10000</v>
      </c>
      <c r="M7" s="61">
        <f>ROUND('CF 36-month Projection'!O20,0)</f>
        <v>10000</v>
      </c>
      <c r="N7" s="61">
        <f>ROUND('CF 36-month Projection'!P20,0)</f>
        <v>10000</v>
      </c>
      <c r="O7" s="61">
        <f>ROUND('CF 36-month Projection'!Q20,0)</f>
        <v>10000</v>
      </c>
      <c r="P7" s="61">
        <f>ROUND('CF 36-month Projection'!R20,0)</f>
        <v>10000</v>
      </c>
      <c r="Q7" s="61">
        <f>ROUND('CF 36-month Projection'!S20,0)</f>
        <v>10000</v>
      </c>
      <c r="R7" s="61">
        <f>ROUND('CF 36-month Projection'!T20,0)</f>
        <v>10000</v>
      </c>
      <c r="S7" s="61">
        <f>ROUND('CF 36-month Projection'!U20,0)</f>
        <v>10000</v>
      </c>
      <c r="T7" s="61">
        <f>ROUND('CF 36-month Projection'!V20,0)</f>
        <v>10000</v>
      </c>
      <c r="U7" s="61">
        <f>ROUND('CF 36-month Projection'!W20,0)</f>
        <v>10000</v>
      </c>
      <c r="V7" s="61">
        <f>ROUND('CF 36-month Projection'!X20,0)</f>
        <v>10000</v>
      </c>
      <c r="W7" s="61">
        <f>ROUND('CF 36-month Projection'!Y20,0)</f>
        <v>10000</v>
      </c>
      <c r="X7" s="61">
        <f>ROUND('CF 36-month Projection'!Z20,0)</f>
        <v>10000</v>
      </c>
      <c r="Y7" s="61">
        <f>ROUND('CF 36-month Projection'!AA20,0)</f>
        <v>10000</v>
      </c>
      <c r="Z7" s="61">
        <f>ROUND('CF 36-month Projection'!AB20,0)</f>
        <v>10000</v>
      </c>
      <c r="AA7" s="61">
        <f>ROUND('CF 36-month Projection'!AC20,0)</f>
        <v>10000</v>
      </c>
      <c r="AB7" s="61">
        <f>ROUND('CF 36-month Projection'!AD20,0)</f>
        <v>10000</v>
      </c>
      <c r="AC7" s="61">
        <f>ROUND('CF 36-month Projection'!AE20,0)</f>
        <v>10000</v>
      </c>
      <c r="AD7" s="61">
        <f>ROUND('CF 36-month Projection'!AF20,0)</f>
        <v>10000</v>
      </c>
      <c r="AE7" s="61">
        <f>ROUND('CF 36-month Projection'!AG20,0)</f>
        <v>10000</v>
      </c>
      <c r="AF7" s="61">
        <f>ROUND('CF 36-month Projection'!AH20,0)</f>
        <v>10000</v>
      </c>
      <c r="AG7" s="61">
        <f>ROUND('CF 36-month Projection'!AI20,0)</f>
        <v>10000</v>
      </c>
      <c r="AH7" s="61">
        <f>ROUND('CF 36-month Projection'!AJ20,0)</f>
        <v>10000</v>
      </c>
      <c r="AI7" s="61">
        <f>ROUND('CF 36-month Projection'!AK20,0)</f>
        <v>10000</v>
      </c>
      <c r="AJ7" s="61">
        <f>ROUND('CF 36-month Projection'!AL20,0)</f>
        <v>10000</v>
      </c>
      <c r="AK7" s="61">
        <f>ROUND('CF 36-month Projection'!AM20,0)</f>
        <v>10000</v>
      </c>
      <c r="AL7" s="61">
        <f>ROUND('CF 36-month Projection'!AN20,0)</f>
        <v>10000</v>
      </c>
      <c r="AM7" s="61">
        <f>ROUND('CF 36-month Projection'!AO20,0)</f>
        <v>10000</v>
      </c>
      <c r="AN7" s="61">
        <f>ROUND('CF 36-month Projection'!AP20,0)</f>
        <v>10000</v>
      </c>
      <c r="AO7" s="61">
        <f>ROUND('CF 36-month Projection'!AQ20,0)</f>
        <v>10000</v>
      </c>
      <c r="AP7" s="61">
        <f>ROUND('CF 36-month Projection'!AR20,0)</f>
        <v>10000</v>
      </c>
    </row>
    <row r="8" spans="1:42" ht="12.75">
      <c r="A8" s="12"/>
      <c r="D8" s="21" t="s">
        <v>236</v>
      </c>
      <c r="F8" s="62">
        <v>0</v>
      </c>
      <c r="G8" s="62">
        <f>ROUND('AR Portfolio Growth'!B26,0)</f>
        <v>221406</v>
      </c>
      <c r="H8" s="62">
        <f>ROUND('AR Portfolio Growth'!C26,0)</f>
        <v>438402</v>
      </c>
      <c r="I8" s="62">
        <f>ROUND('AR Portfolio Growth'!D26,0)</f>
        <v>649271</v>
      </c>
      <c r="J8" s="62">
        <f>ROUND('AR Portfolio Growth'!E26,0)</f>
        <v>852438</v>
      </c>
      <c r="K8" s="62">
        <f>ROUND('AR Portfolio Growth'!F26,0)</f>
        <v>1046071</v>
      </c>
      <c r="L8" s="62">
        <f>ROUND('AR Portfolio Growth'!G26,0)</f>
        <v>1231318</v>
      </c>
      <c r="M8" s="62">
        <f>ROUND('AR Portfolio Growth'!H26,0)</f>
        <v>1407947</v>
      </c>
      <c r="N8" s="62">
        <f>ROUND('AR Portfolio Growth'!I26,0)</f>
        <v>1575083</v>
      </c>
      <c r="O8" s="62">
        <f>ROUND('AR Portfolio Growth'!J26,0)</f>
        <v>1733588</v>
      </c>
      <c r="P8" s="62">
        <f>ROUND('AR Portfolio Growth'!K26,0)</f>
        <v>1883696</v>
      </c>
      <c r="Q8" s="62">
        <f>ROUND('AR Portfolio Growth'!L26,0)</f>
        <v>2026429</v>
      </c>
      <c r="R8" s="62">
        <f>ROUND('AR Portfolio Growth'!M26,0)</f>
        <v>2162074</v>
      </c>
      <c r="S8" s="62">
        <f>ROUND('AR Portfolio Growth'!O26,0)</f>
        <v>2291219</v>
      </c>
      <c r="T8" s="62">
        <f>ROUND('AR Portfolio Growth'!P26,0)</f>
        <v>2414508</v>
      </c>
      <c r="U8" s="62">
        <f>ROUND('AR Portfolio Growth'!Q26,0)</f>
        <v>2531556</v>
      </c>
      <c r="V8" s="62">
        <f>ROUND('AR Portfolio Growth'!R26,0)</f>
        <v>2642717</v>
      </c>
      <c r="W8" s="62">
        <f>ROUND('AR Portfolio Growth'!S26,0)</f>
        <v>2748233</v>
      </c>
      <c r="X8" s="62">
        <f>ROUND('AR Portfolio Growth'!T26,0)</f>
        <v>2847974</v>
      </c>
      <c r="Y8" s="62">
        <f>ROUND('AR Portfolio Growth'!U26,0)</f>
        <v>2942514</v>
      </c>
      <c r="Z8" s="62">
        <f>ROUND('AR Portfolio Growth'!V26,0)</f>
        <v>3031773</v>
      </c>
      <c r="AA8" s="62">
        <f>ROUND('AR Portfolio Growth'!W26,0)</f>
        <v>3115586</v>
      </c>
      <c r="AB8" s="62">
        <f>ROUND('AR Portfolio Growth'!X26,0)</f>
        <v>3194171</v>
      </c>
      <c r="AC8" s="62">
        <f>ROUND('AR Portfolio Growth'!Y26,0)</f>
        <v>3267439</v>
      </c>
      <c r="AD8" s="62">
        <f>ROUND('AR Portfolio Growth'!Z26,0)</f>
        <v>3335512</v>
      </c>
      <c r="AE8" s="62">
        <f>ROUND('AR Portfolio Growth'!AB26,0)</f>
        <v>3398324</v>
      </c>
      <c r="AF8" s="62">
        <f>ROUND('AR Portfolio Growth'!AC26,0)</f>
        <v>3455843</v>
      </c>
      <c r="AG8" s="62">
        <f>ROUND('AR Portfolio Growth'!AD26,0)</f>
        <v>3508037</v>
      </c>
      <c r="AH8" s="62">
        <f>ROUND('AR Portfolio Growth'!AE26,0)</f>
        <v>3554755</v>
      </c>
      <c r="AI8" s="62">
        <f>ROUND('AR Portfolio Growth'!AF26,0)</f>
        <v>3595954</v>
      </c>
      <c r="AJ8" s="62">
        <f>ROUND('AR Portfolio Growth'!AG26,0)</f>
        <v>3631624</v>
      </c>
      <c r="AK8" s="62">
        <f>ROUND('AR Portfolio Growth'!AH26,0)</f>
        <v>3661673</v>
      </c>
      <c r="AL8" s="62">
        <f>ROUND('AR Portfolio Growth'!AI26,0)</f>
        <v>3686042</v>
      </c>
      <c r="AM8" s="62">
        <f>ROUND('AR Portfolio Growth'!AJ26,0)</f>
        <v>3704676</v>
      </c>
      <c r="AN8" s="62">
        <f>ROUND('AR Portfolio Growth'!AK26,0)</f>
        <v>3717489</v>
      </c>
      <c r="AO8" s="62">
        <f>ROUND('AR Portfolio Growth'!AL26,0)</f>
        <v>3724394</v>
      </c>
      <c r="AP8" s="62">
        <f>ROUND('AR Portfolio Growth'!AM26,0)</f>
        <v>3725293</v>
      </c>
    </row>
    <row r="9" spans="1:42" ht="13.5" thickBot="1">
      <c r="A9" s="12"/>
      <c r="D9" s="21" t="s">
        <v>225</v>
      </c>
      <c r="F9" s="62">
        <f>Assumptions!C16*Assumptions!C10</f>
        <v>125000</v>
      </c>
      <c r="G9" s="62">
        <f>Assumptions!C17*Assumptions!C10</f>
        <v>125000</v>
      </c>
      <c r="H9" s="62">
        <f aca="true" t="shared" si="1" ref="H9:AP9">G9</f>
        <v>125000</v>
      </c>
      <c r="I9" s="62">
        <f t="shared" si="1"/>
        <v>125000</v>
      </c>
      <c r="J9" s="62">
        <f t="shared" si="1"/>
        <v>125000</v>
      </c>
      <c r="K9" s="62">
        <f t="shared" si="1"/>
        <v>125000</v>
      </c>
      <c r="L9" s="62">
        <f t="shared" si="1"/>
        <v>125000</v>
      </c>
      <c r="M9" s="62">
        <f t="shared" si="1"/>
        <v>125000</v>
      </c>
      <c r="N9" s="62">
        <f t="shared" si="1"/>
        <v>125000</v>
      </c>
      <c r="O9" s="62">
        <f t="shared" si="1"/>
        <v>125000</v>
      </c>
      <c r="P9" s="62">
        <f t="shared" si="1"/>
        <v>125000</v>
      </c>
      <c r="Q9" s="62">
        <f t="shared" si="1"/>
        <v>125000</v>
      </c>
      <c r="R9" s="62">
        <f t="shared" si="1"/>
        <v>125000</v>
      </c>
      <c r="S9" s="62">
        <f t="shared" si="1"/>
        <v>125000</v>
      </c>
      <c r="T9" s="62">
        <f t="shared" si="1"/>
        <v>125000</v>
      </c>
      <c r="U9" s="62">
        <f t="shared" si="1"/>
        <v>125000</v>
      </c>
      <c r="V9" s="62">
        <f t="shared" si="1"/>
        <v>125000</v>
      </c>
      <c r="W9" s="62">
        <f t="shared" si="1"/>
        <v>125000</v>
      </c>
      <c r="X9" s="62">
        <f t="shared" si="1"/>
        <v>125000</v>
      </c>
      <c r="Y9" s="62">
        <f t="shared" si="1"/>
        <v>125000</v>
      </c>
      <c r="Z9" s="62">
        <f t="shared" si="1"/>
        <v>125000</v>
      </c>
      <c r="AA9" s="62">
        <f t="shared" si="1"/>
        <v>125000</v>
      </c>
      <c r="AB9" s="62">
        <f t="shared" si="1"/>
        <v>125000</v>
      </c>
      <c r="AC9" s="62">
        <f t="shared" si="1"/>
        <v>125000</v>
      </c>
      <c r="AD9" s="62">
        <f t="shared" si="1"/>
        <v>125000</v>
      </c>
      <c r="AE9" s="62">
        <f t="shared" si="1"/>
        <v>125000</v>
      </c>
      <c r="AF9" s="62">
        <f t="shared" si="1"/>
        <v>125000</v>
      </c>
      <c r="AG9" s="62">
        <f t="shared" si="1"/>
        <v>125000</v>
      </c>
      <c r="AH9" s="62">
        <f t="shared" si="1"/>
        <v>125000</v>
      </c>
      <c r="AI9" s="62">
        <f t="shared" si="1"/>
        <v>125000</v>
      </c>
      <c r="AJ9" s="62">
        <f t="shared" si="1"/>
        <v>125000</v>
      </c>
      <c r="AK9" s="62">
        <f t="shared" si="1"/>
        <v>125000</v>
      </c>
      <c r="AL9" s="62">
        <f t="shared" si="1"/>
        <v>125000</v>
      </c>
      <c r="AM9" s="62">
        <f t="shared" si="1"/>
        <v>125000</v>
      </c>
      <c r="AN9" s="62">
        <f t="shared" si="1"/>
        <v>125000</v>
      </c>
      <c r="AO9" s="62">
        <f t="shared" si="1"/>
        <v>125000</v>
      </c>
      <c r="AP9" s="62">
        <f t="shared" si="1"/>
        <v>125000</v>
      </c>
    </row>
    <row r="10" spans="1:42" ht="13.5" thickBot="1">
      <c r="A10" s="12"/>
      <c r="B10" s="21" t="s">
        <v>1</v>
      </c>
      <c r="F10" s="114">
        <f aca="true" t="shared" si="2" ref="F10:AP10">SUM(F7:F9)</f>
        <v>500000</v>
      </c>
      <c r="G10" s="115">
        <f t="shared" si="2"/>
        <v>553740</v>
      </c>
      <c r="H10" s="115">
        <f t="shared" si="2"/>
        <v>608865</v>
      </c>
      <c r="I10" s="115">
        <f t="shared" si="2"/>
        <v>784271</v>
      </c>
      <c r="J10" s="115">
        <f t="shared" si="2"/>
        <v>987438</v>
      </c>
      <c r="K10" s="115">
        <f t="shared" si="2"/>
        <v>1181071</v>
      </c>
      <c r="L10" s="115">
        <f t="shared" si="2"/>
        <v>1366318</v>
      </c>
      <c r="M10" s="115">
        <f t="shared" si="2"/>
        <v>1542947</v>
      </c>
      <c r="N10" s="115">
        <f t="shared" si="2"/>
        <v>1710083</v>
      </c>
      <c r="O10" s="115">
        <f t="shared" si="2"/>
        <v>1868588</v>
      </c>
      <c r="P10" s="115">
        <f t="shared" si="2"/>
        <v>2018696</v>
      </c>
      <c r="Q10" s="115">
        <f t="shared" si="2"/>
        <v>2161429</v>
      </c>
      <c r="R10" s="115">
        <f t="shared" si="2"/>
        <v>2297074</v>
      </c>
      <c r="S10" s="115">
        <f t="shared" si="2"/>
        <v>2426219</v>
      </c>
      <c r="T10" s="115">
        <f t="shared" si="2"/>
        <v>2549508</v>
      </c>
      <c r="U10" s="115">
        <f t="shared" si="2"/>
        <v>2666556</v>
      </c>
      <c r="V10" s="115">
        <f t="shared" si="2"/>
        <v>2777717</v>
      </c>
      <c r="W10" s="115">
        <f t="shared" si="2"/>
        <v>2883233</v>
      </c>
      <c r="X10" s="115">
        <f t="shared" si="2"/>
        <v>2982974</v>
      </c>
      <c r="Y10" s="115">
        <f t="shared" si="2"/>
        <v>3077514</v>
      </c>
      <c r="Z10" s="115">
        <f t="shared" si="2"/>
        <v>3166773</v>
      </c>
      <c r="AA10" s="115">
        <f t="shared" si="2"/>
        <v>3250586</v>
      </c>
      <c r="AB10" s="115">
        <f t="shared" si="2"/>
        <v>3329171</v>
      </c>
      <c r="AC10" s="115">
        <f t="shared" si="2"/>
        <v>3402439</v>
      </c>
      <c r="AD10" s="115">
        <f t="shared" si="2"/>
        <v>3470512</v>
      </c>
      <c r="AE10" s="115">
        <f t="shared" si="2"/>
        <v>3533324</v>
      </c>
      <c r="AF10" s="115">
        <f t="shared" si="2"/>
        <v>3590843</v>
      </c>
      <c r="AG10" s="115">
        <f t="shared" si="2"/>
        <v>3643037</v>
      </c>
      <c r="AH10" s="115">
        <f t="shared" si="2"/>
        <v>3689755</v>
      </c>
      <c r="AI10" s="115">
        <f t="shared" si="2"/>
        <v>3730954</v>
      </c>
      <c r="AJ10" s="115">
        <f t="shared" si="2"/>
        <v>3766624</v>
      </c>
      <c r="AK10" s="115">
        <f t="shared" si="2"/>
        <v>3796673</v>
      </c>
      <c r="AL10" s="115">
        <f t="shared" si="2"/>
        <v>3821042</v>
      </c>
      <c r="AM10" s="115">
        <f t="shared" si="2"/>
        <v>3839676</v>
      </c>
      <c r="AN10" s="115">
        <f t="shared" si="2"/>
        <v>3852489</v>
      </c>
      <c r="AO10" s="115">
        <f t="shared" si="2"/>
        <v>3859394</v>
      </c>
      <c r="AP10" s="115">
        <f t="shared" si="2"/>
        <v>3860293</v>
      </c>
    </row>
    <row r="11" spans="1:42" ht="13.5" thickTop="1">
      <c r="A11" s="12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63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</row>
    <row r="12" spans="1:42" ht="12.75">
      <c r="A12" s="12"/>
      <c r="B12" s="21" t="s">
        <v>2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</row>
    <row r="13" spans="1:42" ht="12.75" hidden="1">
      <c r="A13" s="12"/>
      <c r="D13" s="21" t="s">
        <v>250</v>
      </c>
      <c r="F13" s="62">
        <f>Assumptions!C24</f>
        <v>0</v>
      </c>
      <c r="G13" s="62">
        <f>IF(Assumptions!$C$25="N",0,ROUND(G8*Assumptions!$C$23,0))</f>
        <v>0</v>
      </c>
      <c r="H13" s="62">
        <f>IF(Assumptions!$C$25="N",0,ROUND(H8*Assumptions!$C$23,0))</f>
        <v>0</v>
      </c>
      <c r="I13" s="62">
        <f>IF(Assumptions!$C$25="N",0,ROUND(I8*Assumptions!$C$23,0))</f>
        <v>0</v>
      </c>
      <c r="J13" s="62">
        <f>IF(Assumptions!$C$25="N",0,ROUND(J8*Assumptions!$C$23,0))</f>
        <v>0</v>
      </c>
      <c r="K13" s="62">
        <f>IF(Assumptions!$C$25="N",0,ROUND(K8*Assumptions!$C$23,0))</f>
        <v>0</v>
      </c>
      <c r="L13" s="62">
        <f>IF(Assumptions!$C$25="N",0,ROUND(L8*Assumptions!$C$23,0))</f>
        <v>0</v>
      </c>
      <c r="M13" s="62">
        <f>IF(Assumptions!$C$25="N",0,ROUND(M8*Assumptions!$C$23,0))</f>
        <v>0</v>
      </c>
      <c r="N13" s="62">
        <f>IF(Assumptions!$C$25="N",0,ROUND(N8*Assumptions!$C$23,0))</f>
        <v>0</v>
      </c>
      <c r="O13" s="62">
        <f>IF(Assumptions!$C$25="N",0,ROUND(O8*Assumptions!$C$23,0))</f>
        <v>0</v>
      </c>
      <c r="P13" s="62">
        <f>IF(Assumptions!$C$25="N",0,ROUND(P8*Assumptions!$C$23,0))</f>
        <v>0</v>
      </c>
      <c r="Q13" s="62">
        <f>IF(Assumptions!$C$25="N",0,ROUND(Q8*Assumptions!$C$23,0))</f>
        <v>0</v>
      </c>
      <c r="R13" s="62">
        <f>IF(Assumptions!$C$25="N",0,ROUND(R8*Assumptions!$C$23,0))</f>
        <v>0</v>
      </c>
      <c r="S13" s="62">
        <f>IF(Assumptions!$C$25="N",0,ROUND(S8*Assumptions!$C$23,0))</f>
        <v>0</v>
      </c>
      <c r="T13" s="62">
        <f>IF(Assumptions!$C$25="N",0,ROUND(T8*Assumptions!$C$23,0))</f>
        <v>0</v>
      </c>
      <c r="U13" s="62">
        <f>IF(Assumptions!$C$25="N",0,ROUND(U8*Assumptions!$C$23,0))</f>
        <v>0</v>
      </c>
      <c r="V13" s="62">
        <f>IF(Assumptions!$C$25="N",0,ROUND(V8*Assumptions!$C$23,0))</f>
        <v>0</v>
      </c>
      <c r="W13" s="62">
        <f>IF(Assumptions!$C$25="N",0,ROUND(W8*Assumptions!$C$23,0))</f>
        <v>0</v>
      </c>
      <c r="X13" s="62">
        <f>IF(Assumptions!$C$25="N",0,ROUND(X8*Assumptions!$C$23,0))</f>
        <v>0</v>
      </c>
      <c r="Y13" s="62">
        <f>IF(Assumptions!$C$25="N",0,ROUND(Y8*Assumptions!$C$23,0))</f>
        <v>0</v>
      </c>
      <c r="Z13" s="62">
        <f>IF(Assumptions!$C$25="N",0,ROUND(Z8*Assumptions!$C$23,0))</f>
        <v>0</v>
      </c>
      <c r="AA13" s="62">
        <f>IF(Assumptions!$C$25="N",0,ROUND(AA8*Assumptions!$C$23,0))</f>
        <v>0</v>
      </c>
      <c r="AB13" s="62">
        <f>IF(Assumptions!$C$25="N",0,ROUND(AB8*Assumptions!$C$23,0))</f>
        <v>0</v>
      </c>
      <c r="AC13" s="62">
        <f>IF(Assumptions!$C$25="N",0,ROUND(AC8*Assumptions!$C$23,0))</f>
        <v>0</v>
      </c>
      <c r="AD13" s="62">
        <f>IF(Assumptions!$C$25="N",0,ROUND(AD8*Assumptions!$C$23,0))</f>
        <v>0</v>
      </c>
      <c r="AE13" s="62">
        <f>IF(Assumptions!$C$25="N",0,ROUND(AE8*Assumptions!$C$23,0))</f>
        <v>0</v>
      </c>
      <c r="AF13" s="62">
        <f>IF(Assumptions!$C$25="N",0,ROUND(AF8*Assumptions!$C$23,0))</f>
        <v>0</v>
      </c>
      <c r="AG13" s="62">
        <f>IF(Assumptions!$C$25="N",0,ROUND(AG8*Assumptions!$C$23,0))</f>
        <v>0</v>
      </c>
      <c r="AH13" s="62">
        <f>IF(Assumptions!$C$25="N",0,ROUND(AH8*Assumptions!$C$23,0))</f>
        <v>0</v>
      </c>
      <c r="AI13" s="62">
        <f>IF(Assumptions!$C$25="N",0,ROUND(AI8*Assumptions!$C$23,0))</f>
        <v>0</v>
      </c>
      <c r="AJ13" s="62">
        <f>IF(Assumptions!$C$25="N",0,ROUND(AJ8*Assumptions!$C$23,0))</f>
        <v>0</v>
      </c>
      <c r="AK13" s="62">
        <f>IF(Assumptions!$C$25="N",0,ROUND(AK8*Assumptions!$C$23,0))</f>
        <v>0</v>
      </c>
      <c r="AL13" s="62">
        <f>IF(Assumptions!$C$25="N",0,ROUND(AL8*Assumptions!$C$23,0))</f>
        <v>0</v>
      </c>
      <c r="AM13" s="62">
        <f>IF(Assumptions!$C$25="N",0,ROUND(AM8*Assumptions!$C$23,0))</f>
        <v>0</v>
      </c>
      <c r="AN13" s="62">
        <f>IF(Assumptions!$C$25="N",0,ROUND(AN8*Assumptions!$C$23,0))</f>
        <v>0</v>
      </c>
      <c r="AO13" s="62">
        <f>IF(Assumptions!$C$25="N",0,ROUND(AO8*Assumptions!$C$23,0))</f>
        <v>0</v>
      </c>
      <c r="AP13" s="62">
        <f>IF(Assumptions!$C$25="N",0,ROUND(AP8*Assumptions!$C$23,0))</f>
        <v>0</v>
      </c>
    </row>
    <row r="14" spans="1:42" ht="12.75" hidden="1">
      <c r="A14" s="12"/>
      <c r="D14" s="21" t="s">
        <v>252</v>
      </c>
      <c r="F14" s="62">
        <v>0</v>
      </c>
      <c r="G14" s="62">
        <f>F14</f>
        <v>0</v>
      </c>
      <c r="H14" s="62">
        <f>G14</f>
        <v>0</v>
      </c>
      <c r="I14" s="62">
        <f aca="true" t="shared" si="3" ref="I14:AP14">H14</f>
        <v>0</v>
      </c>
      <c r="J14" s="62">
        <f t="shared" si="3"/>
        <v>0</v>
      </c>
      <c r="K14" s="62">
        <f t="shared" si="3"/>
        <v>0</v>
      </c>
      <c r="L14" s="62">
        <f t="shared" si="3"/>
        <v>0</v>
      </c>
      <c r="M14" s="62">
        <f t="shared" si="3"/>
        <v>0</v>
      </c>
      <c r="N14" s="62">
        <f t="shared" si="3"/>
        <v>0</v>
      </c>
      <c r="O14" s="62">
        <f t="shared" si="3"/>
        <v>0</v>
      </c>
      <c r="P14" s="62">
        <f t="shared" si="3"/>
        <v>0</v>
      </c>
      <c r="Q14" s="62">
        <f t="shared" si="3"/>
        <v>0</v>
      </c>
      <c r="R14" s="62">
        <f t="shared" si="3"/>
        <v>0</v>
      </c>
      <c r="S14" s="62">
        <f t="shared" si="3"/>
        <v>0</v>
      </c>
      <c r="T14" s="62">
        <f t="shared" si="3"/>
        <v>0</v>
      </c>
      <c r="U14" s="62">
        <f t="shared" si="3"/>
        <v>0</v>
      </c>
      <c r="V14" s="62">
        <f t="shared" si="3"/>
        <v>0</v>
      </c>
      <c r="W14" s="62">
        <f t="shared" si="3"/>
        <v>0</v>
      </c>
      <c r="X14" s="62">
        <f t="shared" si="3"/>
        <v>0</v>
      </c>
      <c r="Y14" s="62">
        <f t="shared" si="3"/>
        <v>0</v>
      </c>
      <c r="Z14" s="62">
        <f t="shared" si="3"/>
        <v>0</v>
      </c>
      <c r="AA14" s="62">
        <f t="shared" si="3"/>
        <v>0</v>
      </c>
      <c r="AB14" s="62">
        <f t="shared" si="3"/>
        <v>0</v>
      </c>
      <c r="AC14" s="62">
        <f t="shared" si="3"/>
        <v>0</v>
      </c>
      <c r="AD14" s="62">
        <f t="shared" si="3"/>
        <v>0</v>
      </c>
      <c r="AE14" s="62">
        <f t="shared" si="3"/>
        <v>0</v>
      </c>
      <c r="AF14" s="62">
        <f t="shared" si="3"/>
        <v>0</v>
      </c>
      <c r="AG14" s="62">
        <f t="shared" si="3"/>
        <v>0</v>
      </c>
      <c r="AH14" s="62">
        <f t="shared" si="3"/>
        <v>0</v>
      </c>
      <c r="AI14" s="62">
        <f t="shared" si="3"/>
        <v>0</v>
      </c>
      <c r="AJ14" s="62">
        <f t="shared" si="3"/>
        <v>0</v>
      </c>
      <c r="AK14" s="62">
        <f t="shared" si="3"/>
        <v>0</v>
      </c>
      <c r="AL14" s="62">
        <f t="shared" si="3"/>
        <v>0</v>
      </c>
      <c r="AM14" s="62">
        <f t="shared" si="3"/>
        <v>0</v>
      </c>
      <c r="AN14" s="62">
        <f t="shared" si="3"/>
        <v>0</v>
      </c>
      <c r="AO14" s="62">
        <f t="shared" si="3"/>
        <v>0</v>
      </c>
      <c r="AP14" s="62">
        <f t="shared" si="3"/>
        <v>0</v>
      </c>
    </row>
    <row r="15" spans="1:43" ht="13.5" thickBot="1">
      <c r="A15" s="12"/>
      <c r="D15" s="21" t="s">
        <v>261</v>
      </c>
      <c r="F15" s="201">
        <v>0</v>
      </c>
      <c r="G15" s="202">
        <f>$F$15+'CF 36-month Projection'!I14</f>
        <v>0</v>
      </c>
      <c r="H15" s="202">
        <f>$F$15+'CF 36-month Projection'!J14</f>
        <v>0</v>
      </c>
      <c r="I15" s="202">
        <f>$F$15+'CF 36-month Projection'!K14</f>
        <v>120307</v>
      </c>
      <c r="J15" s="202">
        <f>$F$15+'CF 36-month Projection'!L14</f>
        <v>270778</v>
      </c>
      <c r="K15" s="202">
        <f>$F$15+'CF 36-month Projection'!M14</f>
        <v>416152</v>
      </c>
      <c r="L15" s="202">
        <f>$F$15+'CF 36-month Projection'!N14</f>
        <v>556396</v>
      </c>
      <c r="M15" s="202">
        <f>$F$15+'CF 36-month Projection'!O14</f>
        <v>691472</v>
      </c>
      <c r="N15" s="202">
        <f>$F$15+'CF 36-month Projection'!P14</f>
        <v>821351</v>
      </c>
      <c r="O15" s="202">
        <f>$F$15+'CF 36-month Projection'!Q14</f>
        <v>945994</v>
      </c>
      <c r="P15" s="202">
        <f>$F$15+'CF 36-month Projection'!R14</f>
        <v>1065368</v>
      </c>
      <c r="Q15" s="202">
        <f>$F$15+'CF 36-month Projection'!S14</f>
        <v>1179436</v>
      </c>
      <c r="R15" s="202">
        <f>$F$15+'CF 36-month Projection'!T14</f>
        <v>1288165</v>
      </c>
      <c r="S15" s="202">
        <f>$R$15+'CF 36-month Projection'!U14</f>
        <v>1391519</v>
      </c>
      <c r="T15" s="202">
        <f>$R$15+'CF 36-month Projection'!V14</f>
        <v>1489461</v>
      </c>
      <c r="U15" s="202">
        <f>$R$15+'CF 36-month Projection'!W14</f>
        <v>1581956</v>
      </c>
      <c r="V15" s="202">
        <f>$R$15+'CF 36-month Projection'!X14</f>
        <v>1668967</v>
      </c>
      <c r="W15" s="202">
        <f>$R$15+'CF 36-month Projection'!Y14</f>
        <v>1750456</v>
      </c>
      <c r="X15" s="202">
        <f>$R$15+'CF 36-month Projection'!Z14</f>
        <v>1826389</v>
      </c>
      <c r="Y15" s="202">
        <f>$R$15+'CF 36-month Projection'!AA14</f>
        <v>1896728</v>
      </c>
      <c r="Z15" s="202">
        <f>$R$15+'CF 36-month Projection'!AB14</f>
        <v>1961434</v>
      </c>
      <c r="AA15" s="202">
        <f>$R$15+'CF 36-month Projection'!AC14</f>
        <v>2020472</v>
      </c>
      <c r="AB15" s="202">
        <f>$R$15+'CF 36-month Projection'!AD14</f>
        <v>2073803</v>
      </c>
      <c r="AC15" s="202">
        <f>$R$15+'CF 36-month Projection'!AE14</f>
        <v>2121389</v>
      </c>
      <c r="AD15" s="202">
        <f>$R$15+'CF 36-month Projection'!AF14</f>
        <v>2163193</v>
      </c>
      <c r="AE15" s="202">
        <f>$AD$15+'CF 36-month Projection'!AG14</f>
        <v>2199174</v>
      </c>
      <c r="AF15" s="202">
        <f>$AD$15+'CF 36-month Projection'!AH14</f>
        <v>2229294</v>
      </c>
      <c r="AG15" s="202">
        <f>$AD$15+'CF 36-month Projection'!AI14</f>
        <v>2253514</v>
      </c>
      <c r="AH15" s="202">
        <f>$AD$15+'CF 36-month Projection'!AJ14</f>
        <v>2271795</v>
      </c>
      <c r="AI15" s="202">
        <f>$AD$15+'CF 36-month Projection'!AK14</f>
        <v>2284097</v>
      </c>
      <c r="AJ15" s="202">
        <f>$AD$15+'CF 36-month Projection'!AL14</f>
        <v>2290381</v>
      </c>
      <c r="AK15" s="202">
        <f>$AD$15+'CF 36-month Projection'!AM14</f>
        <v>2290607</v>
      </c>
      <c r="AL15" s="202">
        <f>$AD$15+'CF 36-month Projection'!AN14</f>
        <v>2284734</v>
      </c>
      <c r="AM15" s="202">
        <f>$AD$15+'CF 36-month Projection'!AO14</f>
        <v>2272721</v>
      </c>
      <c r="AN15" s="202">
        <f>$AD$15+'CF 36-month Projection'!AP14</f>
        <v>2254527</v>
      </c>
      <c r="AO15" s="202">
        <f>$AD$15+'CF 36-month Projection'!AQ14</f>
        <v>2230112</v>
      </c>
      <c r="AP15" s="202">
        <f>$AD$15+'CF 36-month Projection'!AR14</f>
        <v>2199425</v>
      </c>
      <c r="AQ15" s="69"/>
    </row>
    <row r="16" spans="1:43" ht="13.5" hidden="1" thickBot="1">
      <c r="A16" s="12"/>
      <c r="D16" s="21" t="s">
        <v>237</v>
      </c>
      <c r="F16" s="62">
        <f>Assumptions!C19</f>
        <v>0</v>
      </c>
      <c r="G16" s="62">
        <f aca="true" t="shared" si="4" ref="G16:AP16">F16</f>
        <v>0</v>
      </c>
      <c r="H16" s="62">
        <f t="shared" si="4"/>
        <v>0</v>
      </c>
      <c r="I16" s="62">
        <f t="shared" si="4"/>
        <v>0</v>
      </c>
      <c r="J16" s="62">
        <f t="shared" si="4"/>
        <v>0</v>
      </c>
      <c r="K16" s="62">
        <f t="shared" si="4"/>
        <v>0</v>
      </c>
      <c r="L16" s="62">
        <f t="shared" si="4"/>
        <v>0</v>
      </c>
      <c r="M16" s="62">
        <f t="shared" si="4"/>
        <v>0</v>
      </c>
      <c r="N16" s="62">
        <f t="shared" si="4"/>
        <v>0</v>
      </c>
      <c r="O16" s="62">
        <f t="shared" si="4"/>
        <v>0</v>
      </c>
      <c r="P16" s="62">
        <f t="shared" si="4"/>
        <v>0</v>
      </c>
      <c r="Q16" s="62">
        <f t="shared" si="4"/>
        <v>0</v>
      </c>
      <c r="R16" s="64">
        <f t="shared" si="4"/>
        <v>0</v>
      </c>
      <c r="S16" s="62">
        <f t="shared" si="4"/>
        <v>0</v>
      </c>
      <c r="T16" s="62">
        <f t="shared" si="4"/>
        <v>0</v>
      </c>
      <c r="U16" s="62">
        <f t="shared" si="4"/>
        <v>0</v>
      </c>
      <c r="V16" s="62">
        <f t="shared" si="4"/>
        <v>0</v>
      </c>
      <c r="W16" s="62">
        <f t="shared" si="4"/>
        <v>0</v>
      </c>
      <c r="X16" s="62">
        <f t="shared" si="4"/>
        <v>0</v>
      </c>
      <c r="Y16" s="62">
        <f t="shared" si="4"/>
        <v>0</v>
      </c>
      <c r="Z16" s="62">
        <f t="shared" si="4"/>
        <v>0</v>
      </c>
      <c r="AA16" s="62">
        <f t="shared" si="4"/>
        <v>0</v>
      </c>
      <c r="AB16" s="62">
        <f t="shared" si="4"/>
        <v>0</v>
      </c>
      <c r="AC16" s="62">
        <f t="shared" si="4"/>
        <v>0</v>
      </c>
      <c r="AD16" s="62">
        <f t="shared" si="4"/>
        <v>0</v>
      </c>
      <c r="AE16" s="62">
        <f t="shared" si="4"/>
        <v>0</v>
      </c>
      <c r="AF16" s="62">
        <f t="shared" si="4"/>
        <v>0</v>
      </c>
      <c r="AG16" s="62">
        <f t="shared" si="4"/>
        <v>0</v>
      </c>
      <c r="AH16" s="62">
        <f t="shared" si="4"/>
        <v>0</v>
      </c>
      <c r="AI16" s="62">
        <f t="shared" si="4"/>
        <v>0</v>
      </c>
      <c r="AJ16" s="62">
        <f t="shared" si="4"/>
        <v>0</v>
      </c>
      <c r="AK16" s="62">
        <f t="shared" si="4"/>
        <v>0</v>
      </c>
      <c r="AL16" s="62">
        <f t="shared" si="4"/>
        <v>0</v>
      </c>
      <c r="AM16" s="62">
        <f t="shared" si="4"/>
        <v>0</v>
      </c>
      <c r="AN16" s="62">
        <f t="shared" si="4"/>
        <v>0</v>
      </c>
      <c r="AO16" s="62">
        <f t="shared" si="4"/>
        <v>0</v>
      </c>
      <c r="AP16" s="62">
        <f t="shared" si="4"/>
        <v>0</v>
      </c>
      <c r="AQ16" s="69"/>
    </row>
    <row r="17" spans="1:43" ht="13.5" thickBot="1">
      <c r="A17" s="12"/>
      <c r="C17" s="21" t="s">
        <v>67</v>
      </c>
      <c r="F17" s="66">
        <f aca="true" t="shared" si="5" ref="F17:AP17">SUM(F13:F16)</f>
        <v>0</v>
      </c>
      <c r="G17" s="66">
        <f t="shared" si="5"/>
        <v>0</v>
      </c>
      <c r="H17" s="66">
        <f t="shared" si="5"/>
        <v>0</v>
      </c>
      <c r="I17" s="66">
        <f t="shared" si="5"/>
        <v>120307</v>
      </c>
      <c r="J17" s="66">
        <f t="shared" si="5"/>
        <v>270778</v>
      </c>
      <c r="K17" s="66">
        <f t="shared" si="5"/>
        <v>416152</v>
      </c>
      <c r="L17" s="66">
        <f t="shared" si="5"/>
        <v>556396</v>
      </c>
      <c r="M17" s="66">
        <f t="shared" si="5"/>
        <v>691472</v>
      </c>
      <c r="N17" s="66">
        <f t="shared" si="5"/>
        <v>821351</v>
      </c>
      <c r="O17" s="66">
        <f t="shared" si="5"/>
        <v>945994</v>
      </c>
      <c r="P17" s="66">
        <f t="shared" si="5"/>
        <v>1065368</v>
      </c>
      <c r="Q17" s="66">
        <f t="shared" si="5"/>
        <v>1179436</v>
      </c>
      <c r="R17" s="66">
        <f t="shared" si="5"/>
        <v>1288165</v>
      </c>
      <c r="S17" s="66">
        <f t="shared" si="5"/>
        <v>1391519</v>
      </c>
      <c r="T17" s="66">
        <f t="shared" si="5"/>
        <v>1489461</v>
      </c>
      <c r="U17" s="66">
        <f t="shared" si="5"/>
        <v>1581956</v>
      </c>
      <c r="V17" s="66">
        <f t="shared" si="5"/>
        <v>1668967</v>
      </c>
      <c r="W17" s="66">
        <f t="shared" si="5"/>
        <v>1750456</v>
      </c>
      <c r="X17" s="66">
        <f t="shared" si="5"/>
        <v>1826389</v>
      </c>
      <c r="Y17" s="66">
        <f t="shared" si="5"/>
        <v>1896728</v>
      </c>
      <c r="Z17" s="66">
        <f t="shared" si="5"/>
        <v>1961434</v>
      </c>
      <c r="AA17" s="66">
        <f t="shared" si="5"/>
        <v>2020472</v>
      </c>
      <c r="AB17" s="66">
        <f t="shared" si="5"/>
        <v>2073803</v>
      </c>
      <c r="AC17" s="66">
        <f t="shared" si="5"/>
        <v>2121389</v>
      </c>
      <c r="AD17" s="66">
        <f t="shared" si="5"/>
        <v>2163193</v>
      </c>
      <c r="AE17" s="66">
        <f t="shared" si="5"/>
        <v>2199174</v>
      </c>
      <c r="AF17" s="66">
        <f t="shared" si="5"/>
        <v>2229294</v>
      </c>
      <c r="AG17" s="66">
        <f t="shared" si="5"/>
        <v>2253514</v>
      </c>
      <c r="AH17" s="66">
        <f t="shared" si="5"/>
        <v>2271795</v>
      </c>
      <c r="AI17" s="66">
        <f t="shared" si="5"/>
        <v>2284097</v>
      </c>
      <c r="AJ17" s="66">
        <f t="shared" si="5"/>
        <v>2290381</v>
      </c>
      <c r="AK17" s="66">
        <f t="shared" si="5"/>
        <v>2290607</v>
      </c>
      <c r="AL17" s="66">
        <f t="shared" si="5"/>
        <v>2284734</v>
      </c>
      <c r="AM17" s="66">
        <f t="shared" si="5"/>
        <v>2272721</v>
      </c>
      <c r="AN17" s="66">
        <f t="shared" si="5"/>
        <v>2254527</v>
      </c>
      <c r="AO17" s="66">
        <f t="shared" si="5"/>
        <v>2230112</v>
      </c>
      <c r="AP17" s="66">
        <f t="shared" si="5"/>
        <v>2199425</v>
      </c>
      <c r="AQ17" s="51"/>
    </row>
    <row r="18" spans="1:42" ht="12.75">
      <c r="A18" s="12"/>
      <c r="F18" s="65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5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</row>
    <row r="19" spans="1:42" ht="12.75">
      <c r="A19" s="12"/>
      <c r="C19" s="21" t="s">
        <v>3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</row>
    <row r="20" spans="1:42" ht="15" customHeight="1">
      <c r="A20" s="12"/>
      <c r="D20" s="21" t="s">
        <v>242</v>
      </c>
      <c r="F20" s="62">
        <f>Assumptions!C8</f>
        <v>500000</v>
      </c>
      <c r="G20" s="62">
        <f>F20</f>
        <v>500000</v>
      </c>
      <c r="H20" s="62">
        <f>G20</f>
        <v>500000</v>
      </c>
      <c r="I20" s="62">
        <f>H20</f>
        <v>500000</v>
      </c>
      <c r="J20" s="62">
        <f>I20</f>
        <v>500000</v>
      </c>
      <c r="K20" s="62">
        <f aca="true" t="shared" si="6" ref="K20:R20">J20</f>
        <v>500000</v>
      </c>
      <c r="L20" s="62">
        <f t="shared" si="6"/>
        <v>500000</v>
      </c>
      <c r="M20" s="62">
        <f t="shared" si="6"/>
        <v>500000</v>
      </c>
      <c r="N20" s="62">
        <f t="shared" si="6"/>
        <v>500000</v>
      </c>
      <c r="O20" s="62">
        <f t="shared" si="6"/>
        <v>500000</v>
      </c>
      <c r="P20" s="62">
        <f t="shared" si="6"/>
        <v>500000</v>
      </c>
      <c r="Q20" s="62">
        <f t="shared" si="6"/>
        <v>500000</v>
      </c>
      <c r="R20" s="62">
        <f t="shared" si="6"/>
        <v>500000</v>
      </c>
      <c r="S20" s="62">
        <f>R20+R21</f>
        <v>1008909</v>
      </c>
      <c r="T20" s="62">
        <f>S20</f>
        <v>1008909</v>
      </c>
      <c r="U20" s="62">
        <f aca="true" t="shared" si="7" ref="U20:AC20">T20</f>
        <v>1008909</v>
      </c>
      <c r="V20" s="62">
        <f t="shared" si="7"/>
        <v>1008909</v>
      </c>
      <c r="W20" s="62">
        <f t="shared" si="7"/>
        <v>1008909</v>
      </c>
      <c r="X20" s="62">
        <f t="shared" si="7"/>
        <v>1008909</v>
      </c>
      <c r="Y20" s="62">
        <f t="shared" si="7"/>
        <v>1008909</v>
      </c>
      <c r="Z20" s="62">
        <f t="shared" si="7"/>
        <v>1008909</v>
      </c>
      <c r="AA20" s="62">
        <f t="shared" si="7"/>
        <v>1008909</v>
      </c>
      <c r="AB20" s="62">
        <f t="shared" si="7"/>
        <v>1008909</v>
      </c>
      <c r="AC20" s="62">
        <f t="shared" si="7"/>
        <v>1008909</v>
      </c>
      <c r="AD20" s="62">
        <f>AC20</f>
        <v>1008909</v>
      </c>
      <c r="AE20" s="62">
        <f>AD20+AD21</f>
        <v>1307319</v>
      </c>
      <c r="AF20" s="62">
        <f aca="true" t="shared" si="8" ref="AF20:AO20">AE20</f>
        <v>1307319</v>
      </c>
      <c r="AG20" s="62">
        <f t="shared" si="8"/>
        <v>1307319</v>
      </c>
      <c r="AH20" s="62">
        <f t="shared" si="8"/>
        <v>1307319</v>
      </c>
      <c r="AI20" s="62">
        <f t="shared" si="8"/>
        <v>1307319</v>
      </c>
      <c r="AJ20" s="62">
        <f t="shared" si="8"/>
        <v>1307319</v>
      </c>
      <c r="AK20" s="62">
        <f t="shared" si="8"/>
        <v>1307319</v>
      </c>
      <c r="AL20" s="62">
        <f t="shared" si="8"/>
        <v>1307319</v>
      </c>
      <c r="AM20" s="62">
        <f t="shared" si="8"/>
        <v>1307319</v>
      </c>
      <c r="AN20" s="62">
        <f>AM20</f>
        <v>1307319</v>
      </c>
      <c r="AO20" s="62">
        <f t="shared" si="8"/>
        <v>1307319</v>
      </c>
      <c r="AP20" s="62">
        <f>AO20</f>
        <v>1307319</v>
      </c>
    </row>
    <row r="21" spans="1:42" ht="13.5" thickBot="1">
      <c r="A21" s="12"/>
      <c r="D21" s="21" t="s">
        <v>4</v>
      </c>
      <c r="F21" s="64">
        <v>0</v>
      </c>
      <c r="G21" s="64">
        <f aca="true" t="shared" si="9" ref="G21:AP21">G10-G17-G20</f>
        <v>53740</v>
      </c>
      <c r="H21" s="64">
        <f t="shared" si="9"/>
        <v>108865</v>
      </c>
      <c r="I21" s="64">
        <f t="shared" si="9"/>
        <v>163964</v>
      </c>
      <c r="J21" s="64">
        <f t="shared" si="9"/>
        <v>216660</v>
      </c>
      <c r="K21" s="64">
        <f t="shared" si="9"/>
        <v>264919</v>
      </c>
      <c r="L21" s="64">
        <f t="shared" si="9"/>
        <v>309922</v>
      </c>
      <c r="M21" s="64">
        <f t="shared" si="9"/>
        <v>351475</v>
      </c>
      <c r="N21" s="64">
        <f t="shared" si="9"/>
        <v>388732</v>
      </c>
      <c r="O21" s="64">
        <f t="shared" si="9"/>
        <v>422594</v>
      </c>
      <c r="P21" s="64">
        <f t="shared" si="9"/>
        <v>453328</v>
      </c>
      <c r="Q21" s="64">
        <f t="shared" si="9"/>
        <v>481993</v>
      </c>
      <c r="R21" s="64">
        <f t="shared" si="9"/>
        <v>508909</v>
      </c>
      <c r="S21" s="64">
        <f t="shared" si="9"/>
        <v>25791</v>
      </c>
      <c r="T21" s="64">
        <f t="shared" si="9"/>
        <v>51138</v>
      </c>
      <c r="U21" s="64">
        <f t="shared" si="9"/>
        <v>75691</v>
      </c>
      <c r="V21" s="64">
        <f t="shared" si="9"/>
        <v>99841</v>
      </c>
      <c r="W21" s="64">
        <f t="shared" si="9"/>
        <v>123868</v>
      </c>
      <c r="X21" s="64">
        <f t="shared" si="9"/>
        <v>147676</v>
      </c>
      <c r="Y21" s="64">
        <f t="shared" si="9"/>
        <v>171877</v>
      </c>
      <c r="Z21" s="64">
        <f t="shared" si="9"/>
        <v>196430</v>
      </c>
      <c r="AA21" s="64">
        <f t="shared" si="9"/>
        <v>221205</v>
      </c>
      <c r="AB21" s="64">
        <f t="shared" si="9"/>
        <v>246459</v>
      </c>
      <c r="AC21" s="64">
        <f t="shared" si="9"/>
        <v>272141</v>
      </c>
      <c r="AD21" s="64">
        <f t="shared" si="9"/>
        <v>298410</v>
      </c>
      <c r="AE21" s="64">
        <f t="shared" si="9"/>
        <v>26831</v>
      </c>
      <c r="AF21" s="64">
        <f t="shared" si="9"/>
        <v>54230</v>
      </c>
      <c r="AG21" s="64">
        <f t="shared" si="9"/>
        <v>82204</v>
      </c>
      <c r="AH21" s="64">
        <f t="shared" si="9"/>
        <v>110641</v>
      </c>
      <c r="AI21" s="64">
        <f t="shared" si="9"/>
        <v>139538</v>
      </c>
      <c r="AJ21" s="64">
        <f t="shared" si="9"/>
        <v>168924</v>
      </c>
      <c r="AK21" s="64">
        <f t="shared" si="9"/>
        <v>198747</v>
      </c>
      <c r="AL21" s="64">
        <f t="shared" si="9"/>
        <v>228989</v>
      </c>
      <c r="AM21" s="64">
        <f t="shared" si="9"/>
        <v>259636</v>
      </c>
      <c r="AN21" s="64">
        <f t="shared" si="9"/>
        <v>290643</v>
      </c>
      <c r="AO21" s="64">
        <f t="shared" si="9"/>
        <v>321963</v>
      </c>
      <c r="AP21" s="64">
        <f t="shared" si="9"/>
        <v>353549</v>
      </c>
    </row>
    <row r="22" spans="1:42" ht="13.5" thickBot="1">
      <c r="A22" s="12"/>
      <c r="C22" s="21" t="s">
        <v>5</v>
      </c>
      <c r="F22" s="66">
        <f aca="true" t="shared" si="10" ref="F22:AP22">ROUND(SUM(F20:F21),0)</f>
        <v>500000</v>
      </c>
      <c r="G22" s="66">
        <f t="shared" si="10"/>
        <v>553740</v>
      </c>
      <c r="H22" s="66">
        <f t="shared" si="10"/>
        <v>608865</v>
      </c>
      <c r="I22" s="66">
        <f t="shared" si="10"/>
        <v>663964</v>
      </c>
      <c r="J22" s="66">
        <f t="shared" si="10"/>
        <v>716660</v>
      </c>
      <c r="K22" s="66">
        <f t="shared" si="10"/>
        <v>764919</v>
      </c>
      <c r="L22" s="66">
        <f t="shared" si="10"/>
        <v>809922</v>
      </c>
      <c r="M22" s="66">
        <f t="shared" si="10"/>
        <v>851475</v>
      </c>
      <c r="N22" s="66">
        <f t="shared" si="10"/>
        <v>888732</v>
      </c>
      <c r="O22" s="66">
        <f t="shared" si="10"/>
        <v>922594</v>
      </c>
      <c r="P22" s="66">
        <f t="shared" si="10"/>
        <v>953328</v>
      </c>
      <c r="Q22" s="66">
        <f t="shared" si="10"/>
        <v>981993</v>
      </c>
      <c r="R22" s="66">
        <f t="shared" si="10"/>
        <v>1008909</v>
      </c>
      <c r="S22" s="66">
        <f t="shared" si="10"/>
        <v>1034700</v>
      </c>
      <c r="T22" s="66">
        <f t="shared" si="10"/>
        <v>1060047</v>
      </c>
      <c r="U22" s="66">
        <f t="shared" si="10"/>
        <v>1084600</v>
      </c>
      <c r="V22" s="66">
        <f t="shared" si="10"/>
        <v>1108750</v>
      </c>
      <c r="W22" s="66">
        <f t="shared" si="10"/>
        <v>1132777</v>
      </c>
      <c r="X22" s="66">
        <f t="shared" si="10"/>
        <v>1156585</v>
      </c>
      <c r="Y22" s="66">
        <f t="shared" si="10"/>
        <v>1180786</v>
      </c>
      <c r="Z22" s="66">
        <f t="shared" si="10"/>
        <v>1205339</v>
      </c>
      <c r="AA22" s="66">
        <f t="shared" si="10"/>
        <v>1230114</v>
      </c>
      <c r="AB22" s="66">
        <f t="shared" si="10"/>
        <v>1255368</v>
      </c>
      <c r="AC22" s="66">
        <f t="shared" si="10"/>
        <v>1281050</v>
      </c>
      <c r="AD22" s="66">
        <f t="shared" si="10"/>
        <v>1307319</v>
      </c>
      <c r="AE22" s="66">
        <f t="shared" si="10"/>
        <v>1334150</v>
      </c>
      <c r="AF22" s="66">
        <f t="shared" si="10"/>
        <v>1361549</v>
      </c>
      <c r="AG22" s="66">
        <f t="shared" si="10"/>
        <v>1389523</v>
      </c>
      <c r="AH22" s="66">
        <f t="shared" si="10"/>
        <v>1417960</v>
      </c>
      <c r="AI22" s="66">
        <f t="shared" si="10"/>
        <v>1446857</v>
      </c>
      <c r="AJ22" s="66">
        <f t="shared" si="10"/>
        <v>1476243</v>
      </c>
      <c r="AK22" s="66">
        <f t="shared" si="10"/>
        <v>1506066</v>
      </c>
      <c r="AL22" s="66">
        <f t="shared" si="10"/>
        <v>1536308</v>
      </c>
      <c r="AM22" s="66">
        <f t="shared" si="10"/>
        <v>1566955</v>
      </c>
      <c r="AN22" s="66">
        <f t="shared" si="10"/>
        <v>1597962</v>
      </c>
      <c r="AO22" s="66">
        <f t="shared" si="10"/>
        <v>1629282</v>
      </c>
      <c r="AP22" s="66">
        <f t="shared" si="10"/>
        <v>1660868</v>
      </c>
    </row>
    <row r="23" spans="1:42" ht="13.5" thickBot="1">
      <c r="A23" s="12"/>
      <c r="B23" s="21" t="s">
        <v>6</v>
      </c>
      <c r="F23" s="67">
        <f aca="true" t="shared" si="11" ref="F23:Q23">F22+F17</f>
        <v>500000</v>
      </c>
      <c r="G23" s="67">
        <f t="shared" si="11"/>
        <v>553740</v>
      </c>
      <c r="H23" s="68">
        <f t="shared" si="11"/>
        <v>608865</v>
      </c>
      <c r="I23" s="68">
        <f t="shared" si="11"/>
        <v>784271</v>
      </c>
      <c r="J23" s="68">
        <f t="shared" si="11"/>
        <v>987438</v>
      </c>
      <c r="K23" s="68">
        <f t="shared" si="11"/>
        <v>1181071</v>
      </c>
      <c r="L23" s="68">
        <f t="shared" si="11"/>
        <v>1366318</v>
      </c>
      <c r="M23" s="68">
        <f t="shared" si="11"/>
        <v>1542947</v>
      </c>
      <c r="N23" s="68">
        <f t="shared" si="11"/>
        <v>1710083</v>
      </c>
      <c r="O23" s="68">
        <f t="shared" si="11"/>
        <v>1868588</v>
      </c>
      <c r="P23" s="68">
        <f t="shared" si="11"/>
        <v>2018696</v>
      </c>
      <c r="Q23" s="68">
        <f t="shared" si="11"/>
        <v>2161429</v>
      </c>
      <c r="R23" s="74">
        <f aca="true" t="shared" si="12" ref="R23:AP23">R17+R22</f>
        <v>2297074</v>
      </c>
      <c r="S23" s="67">
        <f t="shared" si="12"/>
        <v>2426219</v>
      </c>
      <c r="T23" s="68">
        <f t="shared" si="12"/>
        <v>2549508</v>
      </c>
      <c r="U23" s="68">
        <f t="shared" si="12"/>
        <v>2666556</v>
      </c>
      <c r="V23" s="68">
        <f t="shared" si="12"/>
        <v>2777717</v>
      </c>
      <c r="W23" s="68">
        <f t="shared" si="12"/>
        <v>2883233</v>
      </c>
      <c r="X23" s="68">
        <f t="shared" si="12"/>
        <v>2982974</v>
      </c>
      <c r="Y23" s="68">
        <f t="shared" si="12"/>
        <v>3077514</v>
      </c>
      <c r="Z23" s="68">
        <f t="shared" si="12"/>
        <v>3166773</v>
      </c>
      <c r="AA23" s="68">
        <f t="shared" si="12"/>
        <v>3250586</v>
      </c>
      <c r="AB23" s="68">
        <f t="shared" si="12"/>
        <v>3329171</v>
      </c>
      <c r="AC23" s="68">
        <f t="shared" si="12"/>
        <v>3402439</v>
      </c>
      <c r="AD23" s="68">
        <f t="shared" si="12"/>
        <v>3470512</v>
      </c>
      <c r="AE23" s="67">
        <f t="shared" si="12"/>
        <v>3533324</v>
      </c>
      <c r="AF23" s="68">
        <f t="shared" si="12"/>
        <v>3590843</v>
      </c>
      <c r="AG23" s="68">
        <f t="shared" si="12"/>
        <v>3643037</v>
      </c>
      <c r="AH23" s="68">
        <f t="shared" si="12"/>
        <v>3689755</v>
      </c>
      <c r="AI23" s="68">
        <f t="shared" si="12"/>
        <v>3730954</v>
      </c>
      <c r="AJ23" s="68">
        <f t="shared" si="12"/>
        <v>3766624</v>
      </c>
      <c r="AK23" s="68">
        <f t="shared" si="12"/>
        <v>3796673</v>
      </c>
      <c r="AL23" s="68">
        <f t="shared" si="12"/>
        <v>3821042</v>
      </c>
      <c r="AM23" s="68">
        <f t="shared" si="12"/>
        <v>3839676</v>
      </c>
      <c r="AN23" s="68">
        <f t="shared" si="12"/>
        <v>3852489</v>
      </c>
      <c r="AO23" s="68">
        <f t="shared" si="12"/>
        <v>3859394</v>
      </c>
      <c r="AP23" s="68">
        <f t="shared" si="12"/>
        <v>3860293</v>
      </c>
    </row>
    <row r="24" spans="1:42" ht="13.5" thickTop="1">
      <c r="A24" s="12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 ht="12.75">
      <c r="A25" s="1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</row>
    <row r="26" spans="1:13" ht="12.75">
      <c r="A26" s="14"/>
      <c r="M26" s="9"/>
    </row>
    <row r="27" ht="12.75">
      <c r="A27" s="14"/>
    </row>
    <row r="28" ht="12.75">
      <c r="A28" s="14"/>
    </row>
    <row r="29" spans="1:10" ht="12.75">
      <c r="A29" s="14"/>
      <c r="J29" s="51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</sheetData>
  <sheetProtection/>
  <printOptions/>
  <pageMargins left="0.75" right="0" top="1" bottom="1" header="0.75" footer="0.5"/>
  <pageSetup fitToWidth="3" horizontalDpi="600" verticalDpi="600" orientation="landscape" scale="56" r:id="rId2"/>
  <headerFooter alignWithMargins="0">
    <oddFooter>&amp;L&amp;G&amp;C&amp;"Arial,Bold"&amp;11Three Year Projected Pre-Tax Statement of Assets, Liabilities and Equity Under Hypothetical Assumptions in Exhibit 1
For management use only. Actual results will likely vary from projections.
Page &amp;P</oddFooter>
  </headerFooter>
  <colBreaks count="2" manualBreakCount="2">
    <brk id="18" min="1" max="24" man="1"/>
    <brk id="30" min="1" max="24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162"/>
  <sheetViews>
    <sheetView workbookViewId="0" topLeftCell="A1">
      <selection activeCell="H33" sqref="H33"/>
    </sheetView>
  </sheetViews>
  <sheetFormatPr defaultColWidth="9.140625" defaultRowHeight="14.25" customHeight="1"/>
  <cols>
    <col min="1" max="1" width="3.140625" style="16" customWidth="1"/>
    <col min="2" max="2" width="4.00390625" style="16" customWidth="1"/>
    <col min="3" max="3" width="4.421875" style="16" customWidth="1"/>
    <col min="4" max="4" width="9.00390625" style="16" customWidth="1"/>
    <col min="5" max="5" width="29.140625" style="16" customWidth="1"/>
    <col min="6" max="6" width="9.28125" style="16" hidden="1" customWidth="1"/>
    <col min="7" max="7" width="14.421875" style="16" bestFit="1" customWidth="1"/>
    <col min="8" max="9" width="14.140625" style="16" bestFit="1" customWidth="1"/>
    <col min="10" max="12" width="14.00390625" style="16" bestFit="1" customWidth="1"/>
    <col min="13" max="13" width="13.7109375" style="16" bestFit="1" customWidth="1"/>
    <col min="14" max="14" width="14.421875" style="16" bestFit="1" customWidth="1"/>
    <col min="15" max="15" width="14.140625" style="16" bestFit="1" customWidth="1"/>
    <col min="16" max="16" width="14.00390625" style="16" bestFit="1" customWidth="1"/>
    <col min="17" max="18" width="12.7109375" style="16" bestFit="1" customWidth="1"/>
    <col min="19" max="19" width="14.00390625" style="16" bestFit="1" customWidth="1"/>
    <col min="20" max="31" width="12.7109375" style="16" bestFit="1" customWidth="1"/>
    <col min="32" max="32" width="14.00390625" style="16" bestFit="1" customWidth="1"/>
    <col min="33" max="45" width="14.00390625" style="16" customWidth="1"/>
    <col min="46" max="16384" width="9.140625" style="40" customWidth="1"/>
  </cols>
  <sheetData>
    <row r="2" ht="14.25" customHeight="1">
      <c r="A2" s="11" t="str">
        <f>Assumptions!C5</f>
        <v>Sample Company</v>
      </c>
    </row>
    <row r="3" spans="1:45" s="16" customFormat="1" ht="14.25" customHeight="1">
      <c r="A3" s="12"/>
      <c r="B3" s="9"/>
      <c r="C3" s="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s="20" customFormat="1" ht="14.25" customHeight="1">
      <c r="A4" s="12"/>
      <c r="B4" s="78"/>
      <c r="C4" s="17"/>
      <c r="D4" s="17"/>
      <c r="E4" s="17"/>
      <c r="F4" s="17"/>
      <c r="G4" s="18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18" t="s">
        <v>29</v>
      </c>
      <c r="O4" s="18" t="s">
        <v>30</v>
      </c>
      <c r="P4" s="18" t="s">
        <v>31</v>
      </c>
      <c r="Q4" s="19" t="s">
        <v>32</v>
      </c>
      <c r="R4" s="19" t="s">
        <v>33</v>
      </c>
      <c r="S4" s="19" t="s">
        <v>21</v>
      </c>
      <c r="T4" s="19" t="s">
        <v>34</v>
      </c>
      <c r="U4" s="19" t="s">
        <v>35</v>
      </c>
      <c r="V4" s="19" t="s">
        <v>36</v>
      </c>
      <c r="W4" s="18" t="s">
        <v>37</v>
      </c>
      <c r="X4" s="18" t="s">
        <v>38</v>
      </c>
      <c r="Y4" s="18" t="s">
        <v>39</v>
      </c>
      <c r="Z4" s="18" t="s">
        <v>40</v>
      </c>
      <c r="AA4" s="18" t="s">
        <v>41</v>
      </c>
      <c r="AB4" s="18" t="s">
        <v>42</v>
      </c>
      <c r="AC4" s="18" t="s">
        <v>43</v>
      </c>
      <c r="AD4" s="18" t="s">
        <v>44</v>
      </c>
      <c r="AE4" s="18" t="s">
        <v>45</v>
      </c>
      <c r="AF4" s="19" t="s">
        <v>21</v>
      </c>
      <c r="AG4" s="19" t="s">
        <v>208</v>
      </c>
      <c r="AH4" s="19" t="s">
        <v>209</v>
      </c>
      <c r="AI4" s="19" t="s">
        <v>210</v>
      </c>
      <c r="AJ4" s="19" t="s">
        <v>211</v>
      </c>
      <c r="AK4" s="19" t="s">
        <v>212</v>
      </c>
      <c r="AL4" s="19" t="s">
        <v>213</v>
      </c>
      <c r="AM4" s="19" t="s">
        <v>214</v>
      </c>
      <c r="AN4" s="19" t="s">
        <v>215</v>
      </c>
      <c r="AO4" s="19" t="s">
        <v>216</v>
      </c>
      <c r="AP4" s="19" t="s">
        <v>217</v>
      </c>
      <c r="AQ4" s="19" t="s">
        <v>218</v>
      </c>
      <c r="AR4" s="19" t="s">
        <v>219</v>
      </c>
      <c r="AS4" s="19" t="s">
        <v>21</v>
      </c>
    </row>
    <row r="5" spans="1:45" s="16" customFormat="1" ht="14.25" customHeight="1">
      <c r="A5" s="12"/>
      <c r="B5" s="21"/>
      <c r="C5" s="21"/>
      <c r="D5" s="21"/>
      <c r="E5" s="9"/>
      <c r="F5" s="9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3"/>
      <c r="S5" s="23"/>
      <c r="T5" s="24"/>
      <c r="U5" s="23"/>
      <c r="V5" s="23"/>
      <c r="W5" s="22"/>
      <c r="X5" s="22"/>
      <c r="Y5" s="22"/>
      <c r="Z5" s="22"/>
      <c r="AA5" s="22"/>
      <c r="AB5" s="22"/>
      <c r="AC5" s="22"/>
      <c r="AD5" s="22"/>
      <c r="AE5" s="22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</row>
    <row r="6" spans="1:45" s="16" customFormat="1" ht="14.25" customHeight="1">
      <c r="A6" s="12"/>
      <c r="B6" s="21"/>
      <c r="C6" s="21" t="s">
        <v>60</v>
      </c>
      <c r="D6" s="21"/>
      <c r="E6" s="9"/>
      <c r="F6" s="9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3"/>
      <c r="V6" s="23"/>
      <c r="W6" s="22"/>
      <c r="X6" s="22"/>
      <c r="Y6" s="22"/>
      <c r="Z6" s="22"/>
      <c r="AA6" s="22"/>
      <c r="AB6" s="22"/>
      <c r="AC6" s="22"/>
      <c r="AD6" s="22"/>
      <c r="AE6" s="22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s="16" customFormat="1" ht="14.25" customHeight="1">
      <c r="A7" s="12"/>
      <c r="B7" s="21"/>
      <c r="C7" s="21"/>
      <c r="D7" s="21" t="s">
        <v>234</v>
      </c>
      <c r="E7" s="9"/>
      <c r="F7" s="9"/>
      <c r="G7" s="46">
        <f>Assumptions!$C$15*Assumptions!$C$13</f>
        <v>25000</v>
      </c>
      <c r="H7" s="46">
        <f>Assumptions!$C$15*Assumptions!$C$13</f>
        <v>25000</v>
      </c>
      <c r="I7" s="46">
        <f>Assumptions!$C$15*Assumptions!$C$13</f>
        <v>25000</v>
      </c>
      <c r="J7" s="46">
        <f>Assumptions!$C$15*Assumptions!$C$13</f>
        <v>25000</v>
      </c>
      <c r="K7" s="46">
        <f>Assumptions!$C$15*Assumptions!$C$13</f>
        <v>25000</v>
      </c>
      <c r="L7" s="46">
        <f>Assumptions!$C$15*Assumptions!$C$13</f>
        <v>25000</v>
      </c>
      <c r="M7" s="46">
        <f>Assumptions!$C$15*Assumptions!$C$13</f>
        <v>25000</v>
      </c>
      <c r="N7" s="46">
        <f>Assumptions!$C$15*Assumptions!$C$13</f>
        <v>25000</v>
      </c>
      <c r="O7" s="46">
        <f>Assumptions!$C$15*Assumptions!$C$13</f>
        <v>25000</v>
      </c>
      <c r="P7" s="46">
        <f>Assumptions!$C$15*Assumptions!$C$13</f>
        <v>25000</v>
      </c>
      <c r="Q7" s="46">
        <f>Assumptions!$C$15*Assumptions!$C$13</f>
        <v>25000</v>
      </c>
      <c r="R7" s="46">
        <f>Assumptions!$C$15*Assumptions!$C$13</f>
        <v>25000</v>
      </c>
      <c r="S7" s="47">
        <f>SUM(G7:R7)</f>
        <v>300000</v>
      </c>
      <c r="T7" s="46">
        <f>Assumptions!$C$15*Assumptions!$C$13</f>
        <v>25000</v>
      </c>
      <c r="U7" s="46">
        <f>Assumptions!$C$15*Assumptions!$C$13</f>
        <v>25000</v>
      </c>
      <c r="V7" s="46">
        <f>Assumptions!$C$15*Assumptions!$C$13</f>
        <v>25000</v>
      </c>
      <c r="W7" s="46">
        <f>Assumptions!$C$15*Assumptions!$C$13</f>
        <v>25000</v>
      </c>
      <c r="X7" s="46">
        <f>Assumptions!$C$15*Assumptions!$C$13</f>
        <v>25000</v>
      </c>
      <c r="Y7" s="46">
        <f>Assumptions!$C$15*Assumptions!$C$13</f>
        <v>25000</v>
      </c>
      <c r="Z7" s="46">
        <f>Assumptions!$C$15*Assumptions!$C$13</f>
        <v>25000</v>
      </c>
      <c r="AA7" s="46">
        <f>Assumptions!$C$15*Assumptions!$C$13</f>
        <v>25000</v>
      </c>
      <c r="AB7" s="46">
        <f>Assumptions!$C$15*Assumptions!$C$13</f>
        <v>25000</v>
      </c>
      <c r="AC7" s="46">
        <f>Assumptions!$C$15*Assumptions!$C$13</f>
        <v>25000</v>
      </c>
      <c r="AD7" s="46">
        <f>Assumptions!$C$15*Assumptions!$C$13</f>
        <v>25000</v>
      </c>
      <c r="AE7" s="46">
        <f>Assumptions!$C$15*Assumptions!$C$13</f>
        <v>25000</v>
      </c>
      <c r="AF7" s="47">
        <f>SUM(T7:AE7)</f>
        <v>300000</v>
      </c>
      <c r="AG7" s="46">
        <f>Assumptions!$C$15*Assumptions!$C$13</f>
        <v>25000</v>
      </c>
      <c r="AH7" s="46">
        <f>Assumptions!$C$15*Assumptions!$C$13</f>
        <v>25000</v>
      </c>
      <c r="AI7" s="46">
        <f>Assumptions!$C$15*Assumptions!$C$13</f>
        <v>25000</v>
      </c>
      <c r="AJ7" s="46">
        <f>Assumptions!$C$15*Assumptions!$C$13</f>
        <v>25000</v>
      </c>
      <c r="AK7" s="46">
        <f>Assumptions!$C$15*Assumptions!$C$13</f>
        <v>25000</v>
      </c>
      <c r="AL7" s="46">
        <f>Assumptions!$C$15*Assumptions!$C$13</f>
        <v>25000</v>
      </c>
      <c r="AM7" s="46">
        <f>Assumptions!$C$15*Assumptions!$C$13</f>
        <v>25000</v>
      </c>
      <c r="AN7" s="46">
        <f>Assumptions!$C$15*Assumptions!$C$13</f>
        <v>25000</v>
      </c>
      <c r="AO7" s="46">
        <f>Assumptions!$C$15*Assumptions!$C$13</f>
        <v>25000</v>
      </c>
      <c r="AP7" s="46">
        <f>Assumptions!$C$15*Assumptions!$C$13</f>
        <v>25000</v>
      </c>
      <c r="AQ7" s="46">
        <f>Assumptions!$C$15*Assumptions!$C$13</f>
        <v>25000</v>
      </c>
      <c r="AR7" s="46">
        <f>Assumptions!$C$15*Assumptions!$C$13</f>
        <v>25000</v>
      </c>
      <c r="AS7" s="47">
        <f>SUM(AG7:AR7)</f>
        <v>300000</v>
      </c>
    </row>
    <row r="8" spans="1:45" s="16" customFormat="1" ht="14.25" customHeight="1">
      <c r="A8" s="12"/>
      <c r="B8" s="21"/>
      <c r="C8" s="21"/>
      <c r="D8" s="11" t="s">
        <v>226</v>
      </c>
      <c r="E8" s="9"/>
      <c r="F8" s="9"/>
      <c r="G8" s="10">
        <f>IF(Assumptions!$C$25="N",ROUND(Assumptions!$C$23*(G7+G9),0),ROUND(Assumptions!$C$23*(G7+G9)*1/Assumptions!$C$27,0))</f>
        <v>15625</v>
      </c>
      <c r="H8" s="10">
        <f>IF(Assumptions!$C$25="N",ROUND(Assumptions!$C$23*(H7+H9),0),ROUND(Assumptions!$C$23*(H7+H9)*1/Assumptions!$C$27,0))</f>
        <v>15625</v>
      </c>
      <c r="I8" s="10">
        <f>IF(Assumptions!$C$25="N",ROUND(Assumptions!$C$23*(I7+I9),0),ROUND(Assumptions!$C$23*(I7+I9)*1/Assumptions!$C$27,0))</f>
        <v>15625</v>
      </c>
      <c r="J8" s="10">
        <f>IF(Assumptions!$C$25="N",ROUND(Assumptions!$C$23*(J7+J9),0),ROUND(Assumptions!$C$23*(J7+J9)*1/Assumptions!$C$27,0))</f>
        <v>15625</v>
      </c>
      <c r="K8" s="10">
        <f>IF(Assumptions!$C$25="N",ROUND(Assumptions!$C$23*(K7+K9),0),ROUND(Assumptions!$C$23*(K7+K9)*1/Assumptions!$C$27,0))</f>
        <v>15625</v>
      </c>
      <c r="L8" s="10">
        <f>IF(Assumptions!$C$25="N",ROUND(Assumptions!$C$23*(L7+L9),0),ROUND(Assumptions!$C$23*(L7+L9)*1/Assumptions!$C$27,0))</f>
        <v>15625</v>
      </c>
      <c r="M8" s="10">
        <f>IF(Assumptions!$C$25="N",ROUND(Assumptions!$C$23*(M7+M9),0),ROUND(Assumptions!$C$23*(M7+M9)*1/Assumptions!$C$27,0))</f>
        <v>15625</v>
      </c>
      <c r="N8" s="10">
        <f>IF(Assumptions!$C$25="N",ROUND(Assumptions!$C$23*(N7+N9),0),ROUND(Assumptions!$C$23*(N7+N9)*1/Assumptions!$C$27,0))</f>
        <v>15625</v>
      </c>
      <c r="O8" s="10">
        <f>IF(Assumptions!$C$25="N",ROUND(Assumptions!$C$23*(O7+O9),0),ROUND(Assumptions!$C$23*(O7+O9)*1/Assumptions!$C$27,0))</f>
        <v>15625</v>
      </c>
      <c r="P8" s="10">
        <f>IF(Assumptions!$C$25="N",ROUND(Assumptions!$C$23*(P7+P9),0),ROUND(Assumptions!$C$23*(P7+P9)*1/Assumptions!$C$27,0))</f>
        <v>15625</v>
      </c>
      <c r="Q8" s="10">
        <f>IF(Assumptions!$C$25="N",ROUND(Assumptions!$C$23*(Q7+Q9),0),ROUND(Assumptions!$C$23*(Q7+Q9)*1/Assumptions!$C$27,0))</f>
        <v>15625</v>
      </c>
      <c r="R8" s="10">
        <f>IF(Assumptions!$C$25="N",ROUND(Assumptions!$C$23*(R7+R9),0),ROUND(Assumptions!$C$23*(R7+R9)*1/Assumptions!$C$27,0))</f>
        <v>15625</v>
      </c>
      <c r="S8" s="25">
        <f>SUM(G8:R8)</f>
        <v>187500</v>
      </c>
      <c r="T8" s="10">
        <f>IF(Assumptions!$C$25="N",ROUND(Assumptions!$C$23*(T7+T9),0),ROUND(Assumptions!$C$23*(T7+T9)*1/Assumptions!$C$27,0))</f>
        <v>15625</v>
      </c>
      <c r="U8" s="10">
        <f>IF(Assumptions!$C$25="N",ROUND(Assumptions!$C$23*(U7+U9),0),ROUND(Assumptions!$C$23*(U7+U9)*1/Assumptions!$C$27,0))</f>
        <v>15625</v>
      </c>
      <c r="V8" s="10">
        <f>IF(Assumptions!$C$25="N",ROUND(Assumptions!$C$23*(V7+V9),0),ROUND(Assumptions!$C$23*(V7+V9)*1/Assumptions!$C$27,0))</f>
        <v>15625</v>
      </c>
      <c r="W8" s="10">
        <f>IF(Assumptions!$C$25="N",ROUND(Assumptions!$C$23*(W7+W9),0),ROUND(Assumptions!$C$23*(W7+W9)*1/Assumptions!$C$27,0))</f>
        <v>15625</v>
      </c>
      <c r="X8" s="10">
        <f>IF(Assumptions!$C$25="N",ROUND(Assumptions!$C$23*(X7+X9),0),ROUND(Assumptions!$C$23*(X7+X9)*1/Assumptions!$C$27,0))</f>
        <v>15625</v>
      </c>
      <c r="Y8" s="10">
        <f>IF(Assumptions!$C$25="N",ROUND(Assumptions!$C$23*(Y7+Y9),0),ROUND(Assumptions!$C$23*(Y7+Y9)*1/Assumptions!$C$27,0))</f>
        <v>15625</v>
      </c>
      <c r="Z8" s="10">
        <f>IF(Assumptions!$C$25="N",ROUND(Assumptions!$C$23*(Z7+Z9),0),ROUND(Assumptions!$C$23*(Z7+Z9)*1/Assumptions!$C$27,0))</f>
        <v>15625</v>
      </c>
      <c r="AA8" s="10">
        <f>IF(Assumptions!$C$25="N",ROUND(Assumptions!$C$23*(AA7+AA9),0),ROUND(Assumptions!$C$23*(AA7+AA9)*1/Assumptions!$C$27,0))</f>
        <v>15625</v>
      </c>
      <c r="AB8" s="10">
        <f>IF(Assumptions!$C$25="N",ROUND(Assumptions!$C$23*(AB7+AB9),0),ROUND(Assumptions!$C$23*(AB7+AB9)*1/Assumptions!$C$27,0))</f>
        <v>15625</v>
      </c>
      <c r="AC8" s="10">
        <f>IF(Assumptions!$C$25="N",ROUND(Assumptions!$C$23*(AC7+AC9),0),ROUND(Assumptions!$C$23*(AC7+AC9)*1/Assumptions!$C$27,0))</f>
        <v>15625</v>
      </c>
      <c r="AD8" s="10">
        <f>IF(Assumptions!$C$25="N",ROUND(Assumptions!$C$23*(AD7+AD9),0),ROUND(Assumptions!$C$23*(AD7+AD9)*1/Assumptions!$C$27,0))</f>
        <v>15625</v>
      </c>
      <c r="AE8" s="10">
        <f>IF(Assumptions!$C$25="N",ROUND(Assumptions!$C$23*(AE7+AE9),0),ROUND(Assumptions!$C$23*(AE7+AE9)*1/Assumptions!$C$27,0))</f>
        <v>15625</v>
      </c>
      <c r="AF8" s="25">
        <f>SUM(T8:AE8)</f>
        <v>187500</v>
      </c>
      <c r="AG8" s="10">
        <f>IF(Assumptions!$C$25="N",ROUND(Assumptions!$C$23*(AG7+AG9),0),ROUND(Assumptions!$C$23*(AG7+AG9)*1/Assumptions!$C$27,0))</f>
        <v>15625</v>
      </c>
      <c r="AH8" s="10">
        <f>IF(Assumptions!$C$25="N",ROUND(Assumptions!$C$23*(AH7+AH9),0),ROUND(Assumptions!$C$23*(AH7+AH9)*1/Assumptions!$C$27,0))</f>
        <v>15625</v>
      </c>
      <c r="AI8" s="10">
        <f>IF(Assumptions!$C$25="N",ROUND(Assumptions!$C$23*(AI7+AI9),0),ROUND(Assumptions!$C$23*(AI7+AI9)*1/Assumptions!$C$27,0))</f>
        <v>15625</v>
      </c>
      <c r="AJ8" s="10">
        <f>IF(Assumptions!$C$25="N",ROUND(Assumptions!$C$23*(AJ7+AJ9),0),ROUND(Assumptions!$C$23*(AJ7+AJ9)*1/Assumptions!$C$27,0))</f>
        <v>15625</v>
      </c>
      <c r="AK8" s="10">
        <f>IF(Assumptions!$C$25="N",ROUND(Assumptions!$C$23*(AK7+AK9),0),ROUND(Assumptions!$C$23*(AK7+AK9)*1/Assumptions!$C$27,0))</f>
        <v>15625</v>
      </c>
      <c r="AL8" s="10">
        <f>IF(Assumptions!$C$25="N",ROUND(Assumptions!$C$23*(AL7+AL9),0),ROUND(Assumptions!$C$23*(AL7+AL9)*1/Assumptions!$C$27,0))</f>
        <v>15625</v>
      </c>
      <c r="AM8" s="10">
        <f>IF(Assumptions!$C$25="N",ROUND(Assumptions!$C$23*(AM7+AM9),0),ROUND(Assumptions!$C$23*(AM7+AM9)*1/Assumptions!$C$27,0))</f>
        <v>15625</v>
      </c>
      <c r="AN8" s="10">
        <f>IF(Assumptions!$C$25="N",ROUND(Assumptions!$C$23*(AN7+AN9),0),ROUND(Assumptions!$C$23*(AN7+AN9)*1/Assumptions!$C$27,0))</f>
        <v>15625</v>
      </c>
      <c r="AO8" s="10">
        <f>IF(Assumptions!$C$25="N",ROUND(Assumptions!$C$23*(AO7+AO9),0),ROUND(Assumptions!$C$23*(AO7+AO9)*1/Assumptions!$C$27,0))</f>
        <v>15625</v>
      </c>
      <c r="AP8" s="10">
        <f>IF(Assumptions!$C$25="N",ROUND(Assumptions!$C$23*(AP7+AP9),0),ROUND(Assumptions!$C$23*(AP7+AP9)*1/Assumptions!$C$27,0))</f>
        <v>15625</v>
      </c>
      <c r="AQ8" s="10">
        <f>IF(Assumptions!$C$25="N",ROUND(Assumptions!$C$23*(AQ7+AQ9),0),ROUND(Assumptions!$C$23*(AQ7+AQ9)*1/Assumptions!$C$27,0))</f>
        <v>15625</v>
      </c>
      <c r="AR8" s="10">
        <f>IF(Assumptions!$C$25="N",ROUND(Assumptions!$C$23*(AR7+AR9),0),ROUND(Assumptions!$C$23*(AR7+AR9)*1/Assumptions!$C$27,0))</f>
        <v>15625</v>
      </c>
      <c r="AS8" s="25">
        <f>SUM(AG8:AR8)</f>
        <v>187500</v>
      </c>
    </row>
    <row r="9" spans="1:45" s="16" customFormat="1" ht="14.25" customHeight="1">
      <c r="A9" s="12"/>
      <c r="B9" s="21"/>
      <c r="C9" s="21"/>
      <c r="D9" s="11" t="s">
        <v>227</v>
      </c>
      <c r="E9" s="9"/>
      <c r="F9" s="9"/>
      <c r="G9" s="29">
        <f>(Assumptions!$C$14*Assumptions!$C$15)</f>
        <v>225000</v>
      </c>
      <c r="H9" s="29">
        <f>(Assumptions!$C$14*Assumptions!$C$15)</f>
        <v>225000</v>
      </c>
      <c r="I9" s="29">
        <f>(Assumptions!$C$14*Assumptions!$C$15)</f>
        <v>225000</v>
      </c>
      <c r="J9" s="29">
        <f>(Assumptions!$C$14*Assumptions!$C$15)</f>
        <v>225000</v>
      </c>
      <c r="K9" s="29">
        <f>(Assumptions!$C$14*Assumptions!$C$15)</f>
        <v>225000</v>
      </c>
      <c r="L9" s="29">
        <f>(Assumptions!$C$14*Assumptions!$C$15)</f>
        <v>225000</v>
      </c>
      <c r="M9" s="29">
        <f>(Assumptions!$C$14*Assumptions!$C$15)</f>
        <v>225000</v>
      </c>
      <c r="N9" s="29">
        <f>(Assumptions!$C$14*Assumptions!$C$15)</f>
        <v>225000</v>
      </c>
      <c r="O9" s="29">
        <f>(Assumptions!$C$14*Assumptions!$C$15)</f>
        <v>225000</v>
      </c>
      <c r="P9" s="29">
        <f>(Assumptions!$C$14*Assumptions!$C$15)</f>
        <v>225000</v>
      </c>
      <c r="Q9" s="29">
        <f>(Assumptions!$C$14*Assumptions!$C$15)</f>
        <v>225000</v>
      </c>
      <c r="R9" s="29">
        <f>(Assumptions!$C$14*Assumptions!$C$15)</f>
        <v>225000</v>
      </c>
      <c r="S9" s="25">
        <f>SUM(G9:R9)</f>
        <v>2700000</v>
      </c>
      <c r="T9" s="29">
        <f>(Assumptions!$C$14*Assumptions!$C$15)</f>
        <v>225000</v>
      </c>
      <c r="U9" s="29">
        <f>(Assumptions!$C$14*Assumptions!$C$15)</f>
        <v>225000</v>
      </c>
      <c r="V9" s="29">
        <f>(Assumptions!$C$14*Assumptions!$C$15)</f>
        <v>225000</v>
      </c>
      <c r="W9" s="29">
        <f>(Assumptions!$C$14*Assumptions!$C$15)</f>
        <v>225000</v>
      </c>
      <c r="X9" s="29">
        <f>(Assumptions!$C$14*Assumptions!$C$15)</f>
        <v>225000</v>
      </c>
      <c r="Y9" s="29">
        <f>(Assumptions!$C$14*Assumptions!$C$15)</f>
        <v>225000</v>
      </c>
      <c r="Z9" s="29">
        <f>(Assumptions!$C$14*Assumptions!$C$15)</f>
        <v>225000</v>
      </c>
      <c r="AA9" s="29">
        <f>(Assumptions!$C$14*Assumptions!$C$15)</f>
        <v>225000</v>
      </c>
      <c r="AB9" s="29">
        <f>(Assumptions!$C$14*Assumptions!$C$15)</f>
        <v>225000</v>
      </c>
      <c r="AC9" s="29">
        <f>(Assumptions!$C$14*Assumptions!$C$15)</f>
        <v>225000</v>
      </c>
      <c r="AD9" s="29">
        <f>(Assumptions!$C$14*Assumptions!$C$15)</f>
        <v>225000</v>
      </c>
      <c r="AE9" s="29">
        <f>(Assumptions!$C$14*Assumptions!$C$15)</f>
        <v>225000</v>
      </c>
      <c r="AF9" s="25">
        <f>SUM(T9:AE9)</f>
        <v>2700000</v>
      </c>
      <c r="AG9" s="29">
        <f>(Assumptions!$C$14*Assumptions!$C$15)</f>
        <v>225000</v>
      </c>
      <c r="AH9" s="29">
        <f>(Assumptions!$C$14*Assumptions!$C$15)</f>
        <v>225000</v>
      </c>
      <c r="AI9" s="29">
        <f>(Assumptions!$C$14*Assumptions!$C$15)</f>
        <v>225000</v>
      </c>
      <c r="AJ9" s="29">
        <f>(Assumptions!$C$14*Assumptions!$C$15)</f>
        <v>225000</v>
      </c>
      <c r="AK9" s="29">
        <f>(Assumptions!$C$14*Assumptions!$C$15)</f>
        <v>225000</v>
      </c>
      <c r="AL9" s="29">
        <f>(Assumptions!$C$14*Assumptions!$C$15)</f>
        <v>225000</v>
      </c>
      <c r="AM9" s="29">
        <f>(Assumptions!$C$14*Assumptions!$C$15)</f>
        <v>225000</v>
      </c>
      <c r="AN9" s="29">
        <f>(Assumptions!$C$14*Assumptions!$C$15)</f>
        <v>225000</v>
      </c>
      <c r="AO9" s="29">
        <f>(Assumptions!$C$14*Assumptions!$C$15)</f>
        <v>225000</v>
      </c>
      <c r="AP9" s="29">
        <f>(Assumptions!$C$14*Assumptions!$C$15)</f>
        <v>225000</v>
      </c>
      <c r="AQ9" s="29">
        <f>(Assumptions!$C$14*Assumptions!$C$15)</f>
        <v>225000</v>
      </c>
      <c r="AR9" s="29">
        <f>(Assumptions!$C$14*Assumptions!$C$15)</f>
        <v>225000</v>
      </c>
      <c r="AS9" s="25">
        <f>SUM(AG9:AR9)</f>
        <v>2700000</v>
      </c>
    </row>
    <row r="10" spans="1:45" s="16" customFormat="1" ht="14.25" customHeight="1">
      <c r="A10" s="12"/>
      <c r="B10" s="21"/>
      <c r="C10" s="21" t="s">
        <v>89</v>
      </c>
      <c r="D10" s="11"/>
      <c r="E10" s="9"/>
      <c r="F10" s="9"/>
      <c r="G10" s="33">
        <f>SUM(G7:G9)</f>
        <v>265625</v>
      </c>
      <c r="H10" s="33">
        <f aca="true" t="shared" si="0" ref="H10:AE10">SUM(H7:H9)</f>
        <v>265625</v>
      </c>
      <c r="I10" s="33">
        <f t="shared" si="0"/>
        <v>265625</v>
      </c>
      <c r="J10" s="33">
        <f t="shared" si="0"/>
        <v>265625</v>
      </c>
      <c r="K10" s="33">
        <f t="shared" si="0"/>
        <v>265625</v>
      </c>
      <c r="L10" s="33">
        <f t="shared" si="0"/>
        <v>265625</v>
      </c>
      <c r="M10" s="33">
        <f t="shared" si="0"/>
        <v>265625</v>
      </c>
      <c r="N10" s="33">
        <f t="shared" si="0"/>
        <v>265625</v>
      </c>
      <c r="O10" s="33">
        <f t="shared" si="0"/>
        <v>265625</v>
      </c>
      <c r="P10" s="33">
        <f t="shared" si="0"/>
        <v>265625</v>
      </c>
      <c r="Q10" s="33">
        <f t="shared" si="0"/>
        <v>265625</v>
      </c>
      <c r="R10" s="33">
        <f t="shared" si="0"/>
        <v>265625</v>
      </c>
      <c r="S10" s="27">
        <f t="shared" si="0"/>
        <v>3187500</v>
      </c>
      <c r="T10" s="33">
        <f t="shared" si="0"/>
        <v>265625</v>
      </c>
      <c r="U10" s="33">
        <f t="shared" si="0"/>
        <v>265625</v>
      </c>
      <c r="V10" s="33">
        <f t="shared" si="0"/>
        <v>265625</v>
      </c>
      <c r="W10" s="33">
        <f t="shared" si="0"/>
        <v>265625</v>
      </c>
      <c r="X10" s="33">
        <f t="shared" si="0"/>
        <v>265625</v>
      </c>
      <c r="Y10" s="33">
        <f t="shared" si="0"/>
        <v>265625</v>
      </c>
      <c r="Z10" s="33">
        <f t="shared" si="0"/>
        <v>265625</v>
      </c>
      <c r="AA10" s="33">
        <f t="shared" si="0"/>
        <v>265625</v>
      </c>
      <c r="AB10" s="33">
        <f t="shared" si="0"/>
        <v>265625</v>
      </c>
      <c r="AC10" s="33">
        <f t="shared" si="0"/>
        <v>265625</v>
      </c>
      <c r="AD10" s="33">
        <f t="shared" si="0"/>
        <v>265625</v>
      </c>
      <c r="AE10" s="33">
        <f t="shared" si="0"/>
        <v>265625</v>
      </c>
      <c r="AF10" s="27">
        <f>SUM(T10:AE10)</f>
        <v>3187500</v>
      </c>
      <c r="AG10" s="91">
        <f>SUM(AG7:AG9)</f>
        <v>265625</v>
      </c>
      <c r="AH10" s="33">
        <f aca="true" t="shared" si="1" ref="AH10:AQ10">SUM(AH7:AH9)</f>
        <v>265625</v>
      </c>
      <c r="AI10" s="33">
        <f t="shared" si="1"/>
        <v>265625</v>
      </c>
      <c r="AJ10" s="33">
        <f t="shared" si="1"/>
        <v>265625</v>
      </c>
      <c r="AK10" s="33">
        <f t="shared" si="1"/>
        <v>265625</v>
      </c>
      <c r="AL10" s="33">
        <f t="shared" si="1"/>
        <v>265625</v>
      </c>
      <c r="AM10" s="33">
        <f t="shared" si="1"/>
        <v>265625</v>
      </c>
      <c r="AN10" s="33">
        <f t="shared" si="1"/>
        <v>265625</v>
      </c>
      <c r="AO10" s="33">
        <f t="shared" si="1"/>
        <v>265625</v>
      </c>
      <c r="AP10" s="33">
        <f t="shared" si="1"/>
        <v>265625</v>
      </c>
      <c r="AQ10" s="33">
        <f t="shared" si="1"/>
        <v>265625</v>
      </c>
      <c r="AR10" s="33">
        <f>SUM(AR7:AR9)</f>
        <v>265625</v>
      </c>
      <c r="AS10" s="27">
        <f>SUM(AG10:AR10)</f>
        <v>3187500</v>
      </c>
    </row>
    <row r="11" spans="1:45" s="16" customFormat="1" ht="14.25" customHeight="1">
      <c r="A11" s="12"/>
      <c r="B11" s="21"/>
      <c r="C11" s="21"/>
      <c r="D11" s="11"/>
      <c r="E11" s="86"/>
      <c r="F11" s="9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83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83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83"/>
    </row>
    <row r="12" spans="1:45" s="16" customFormat="1" ht="14.25" customHeight="1">
      <c r="A12" s="12"/>
      <c r="B12" s="21"/>
      <c r="C12" s="21" t="s">
        <v>228</v>
      </c>
      <c r="D12" s="11"/>
      <c r="E12" s="9"/>
      <c r="F12" s="9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83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83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83"/>
    </row>
    <row r="13" spans="1:45" s="16" customFormat="1" ht="14.25" customHeight="1">
      <c r="A13" s="12"/>
      <c r="B13" s="21"/>
      <c r="C13" s="21"/>
      <c r="D13" s="11" t="s">
        <v>61</v>
      </c>
      <c r="E13" s="9"/>
      <c r="F13" s="9"/>
      <c r="G13" s="30">
        <f>-'AR Portfolio Growth'!B35</f>
        <v>2278.5</v>
      </c>
      <c r="H13" s="30">
        <f>-'AR Portfolio Growth'!C35</f>
        <v>4634.85</v>
      </c>
      <c r="I13" s="30">
        <f>-'AR Portfolio Growth'!D35</f>
        <v>7066.700000000001</v>
      </c>
      <c r="J13" s="30">
        <f>-'AR Portfolio Growth'!E35</f>
        <v>9442.650000000001</v>
      </c>
      <c r="K13" s="30">
        <f>-'AR Portfolio Growth'!F35</f>
        <v>11763.800000000003</v>
      </c>
      <c r="L13" s="30">
        <f>-'AR Portfolio Growth'!G35</f>
        <v>14027.150000000001</v>
      </c>
      <c r="M13" s="30">
        <f>-'AR Portfolio Growth'!H35</f>
        <v>16233.650000000001</v>
      </c>
      <c r="N13" s="30">
        <f>-'AR Portfolio Growth'!I35</f>
        <v>18381.300000000003</v>
      </c>
      <c r="O13" s="30">
        <f>-'AR Portfolio Growth'!J35</f>
        <v>20470.100000000002</v>
      </c>
      <c r="P13" s="30">
        <f>-'AR Portfolio Growth'!K35</f>
        <v>22498.050000000003</v>
      </c>
      <c r="Q13" s="30">
        <f>-'AR Portfolio Growth'!L35</f>
        <v>24466.250000000004</v>
      </c>
      <c r="R13" s="30">
        <f>-'AR Portfolio Growth'!M35</f>
        <v>26371.65</v>
      </c>
      <c r="S13" s="25">
        <f>SUM(G13:R13)</f>
        <v>177634.65000000002</v>
      </c>
      <c r="T13" s="30">
        <f>-'AR Portfolio Growth'!O35</f>
        <v>28213.200000000004</v>
      </c>
      <c r="U13" s="30">
        <f>-'AR Portfolio Growth'!P35</f>
        <v>29992.9</v>
      </c>
      <c r="V13" s="30">
        <f>-'AR Portfolio Growth'!Q35</f>
        <v>31705.85</v>
      </c>
      <c r="W13" s="30">
        <f>-'AR Portfolio Growth'!R35</f>
        <v>33354</v>
      </c>
      <c r="X13" s="30">
        <f>-'AR Portfolio Growth'!S35</f>
        <v>34935.3</v>
      </c>
      <c r="Y13" s="30">
        <f>-'AR Portfolio Growth'!T35</f>
        <v>36448.850000000006</v>
      </c>
      <c r="Z13" s="30">
        <f>-'AR Portfolio Growth'!U35</f>
        <v>37892.600000000006</v>
      </c>
      <c r="AA13" s="30">
        <f>-'AR Portfolio Growth'!V35</f>
        <v>39267.50000000001</v>
      </c>
      <c r="AB13" s="30">
        <f>-'AR Portfolio Growth'!W35</f>
        <v>40570.65000000001</v>
      </c>
      <c r="AC13" s="30">
        <f>-'AR Portfolio Growth'!X35</f>
        <v>41803.00000000001</v>
      </c>
      <c r="AD13" s="30">
        <f>-'AR Portfolio Growth'!Y35</f>
        <v>42961.50000000001</v>
      </c>
      <c r="AE13" s="30">
        <f>-'AR Portfolio Growth'!Z35</f>
        <v>44047.25000000001</v>
      </c>
      <c r="AF13" s="25">
        <f>SUM(T13:AE13)</f>
        <v>441192.60000000003</v>
      </c>
      <c r="AG13" s="30">
        <f>-'AR Portfolio Growth'!AB35</f>
        <v>45056.30000000001</v>
      </c>
      <c r="AH13" s="30">
        <f>-'AR Portfolio Growth'!AC35</f>
        <v>45989.55000000001</v>
      </c>
      <c r="AI13" s="30">
        <f>-'AR Portfolio Growth'!AD35</f>
        <v>46845.05000000001</v>
      </c>
      <c r="AJ13" s="30">
        <f>-'AR Portfolio Growth'!AE35</f>
        <v>47621.75000000001</v>
      </c>
      <c r="AK13" s="30">
        <f>-'AR Portfolio Growth'!AF35</f>
        <v>48319.600000000006</v>
      </c>
      <c r="AL13" s="30">
        <f>-'AR Portfolio Growth'!AG35</f>
        <v>48934.8</v>
      </c>
      <c r="AM13" s="30">
        <f>-'AR Portfolio Growth'!AH35</f>
        <v>49468.25</v>
      </c>
      <c r="AN13" s="30">
        <f>-'AR Portfolio Growth'!AI35</f>
        <v>49918.850000000006</v>
      </c>
      <c r="AO13" s="30">
        <f>-'AR Portfolio Growth'!AJ35</f>
        <v>50284.8</v>
      </c>
      <c r="AP13" s="30">
        <f>-'AR Portfolio Growth'!AK35</f>
        <v>50563.90000000001</v>
      </c>
      <c r="AQ13" s="30">
        <f>-'AR Portfolio Growth'!AL35</f>
        <v>50756.3</v>
      </c>
      <c r="AR13" s="30">
        <f>-'AR Portfolio Growth'!AM35</f>
        <v>50860.05</v>
      </c>
      <c r="AS13" s="25">
        <f>SUM(AG13:AR13)</f>
        <v>584619.2000000001</v>
      </c>
    </row>
    <row r="14" spans="1:45" s="16" customFormat="1" ht="14.25" customHeight="1">
      <c r="A14" s="12"/>
      <c r="B14" s="21"/>
      <c r="C14" s="21" t="s">
        <v>235</v>
      </c>
      <c r="D14" s="11"/>
      <c r="E14" s="9"/>
      <c r="F14" s="9"/>
      <c r="G14" s="88">
        <f aca="true" t="shared" si="2" ref="G14:AS14">SUM(G10:G13)</f>
        <v>267903.5</v>
      </c>
      <c r="H14" s="88">
        <f t="shared" si="2"/>
        <v>270259.85</v>
      </c>
      <c r="I14" s="88">
        <f t="shared" si="2"/>
        <v>272691.7</v>
      </c>
      <c r="J14" s="88">
        <f t="shared" si="2"/>
        <v>275067.65</v>
      </c>
      <c r="K14" s="88">
        <f t="shared" si="2"/>
        <v>277388.8</v>
      </c>
      <c r="L14" s="88">
        <f t="shared" si="2"/>
        <v>279652.15</v>
      </c>
      <c r="M14" s="88">
        <f t="shared" si="2"/>
        <v>281858.65</v>
      </c>
      <c r="N14" s="88">
        <f t="shared" si="2"/>
        <v>284006.3</v>
      </c>
      <c r="O14" s="88">
        <f t="shared" si="2"/>
        <v>286095.1</v>
      </c>
      <c r="P14" s="88">
        <f t="shared" si="2"/>
        <v>288123.05</v>
      </c>
      <c r="Q14" s="88">
        <f t="shared" si="2"/>
        <v>290091.25</v>
      </c>
      <c r="R14" s="88">
        <f t="shared" si="2"/>
        <v>291996.65</v>
      </c>
      <c r="S14" s="88">
        <f t="shared" si="2"/>
        <v>3365134.65</v>
      </c>
      <c r="T14" s="88">
        <f t="shared" si="2"/>
        <v>293838.2</v>
      </c>
      <c r="U14" s="88">
        <f t="shared" si="2"/>
        <v>295617.9</v>
      </c>
      <c r="V14" s="88">
        <f t="shared" si="2"/>
        <v>297330.85</v>
      </c>
      <c r="W14" s="88">
        <f t="shared" si="2"/>
        <v>298979</v>
      </c>
      <c r="X14" s="88">
        <f t="shared" si="2"/>
        <v>300560.3</v>
      </c>
      <c r="Y14" s="88">
        <f t="shared" si="2"/>
        <v>302073.85</v>
      </c>
      <c r="Z14" s="88">
        <f t="shared" si="2"/>
        <v>303517.6</v>
      </c>
      <c r="AA14" s="88">
        <f t="shared" si="2"/>
        <v>304892.5</v>
      </c>
      <c r="AB14" s="88">
        <f t="shared" si="2"/>
        <v>306195.65</v>
      </c>
      <c r="AC14" s="88">
        <f t="shared" si="2"/>
        <v>307428</v>
      </c>
      <c r="AD14" s="88">
        <f t="shared" si="2"/>
        <v>308586.5</v>
      </c>
      <c r="AE14" s="88">
        <f t="shared" si="2"/>
        <v>309672.25</v>
      </c>
      <c r="AF14" s="88">
        <f t="shared" si="2"/>
        <v>3628692.6</v>
      </c>
      <c r="AG14" s="88">
        <f t="shared" si="2"/>
        <v>310681.3</v>
      </c>
      <c r="AH14" s="88">
        <f t="shared" si="2"/>
        <v>311614.55</v>
      </c>
      <c r="AI14" s="88">
        <f t="shared" si="2"/>
        <v>312470.05</v>
      </c>
      <c r="AJ14" s="88">
        <f t="shared" si="2"/>
        <v>313246.75</v>
      </c>
      <c r="AK14" s="88">
        <f t="shared" si="2"/>
        <v>313944.6</v>
      </c>
      <c r="AL14" s="88">
        <f t="shared" si="2"/>
        <v>314559.8</v>
      </c>
      <c r="AM14" s="88">
        <f t="shared" si="2"/>
        <v>315093.25</v>
      </c>
      <c r="AN14" s="88">
        <f t="shared" si="2"/>
        <v>315543.85</v>
      </c>
      <c r="AO14" s="88">
        <f t="shared" si="2"/>
        <v>315909.8</v>
      </c>
      <c r="AP14" s="88">
        <f t="shared" si="2"/>
        <v>316188.9</v>
      </c>
      <c r="AQ14" s="88">
        <f t="shared" si="2"/>
        <v>316381.3</v>
      </c>
      <c r="AR14" s="88">
        <f t="shared" si="2"/>
        <v>316485.05</v>
      </c>
      <c r="AS14" s="88">
        <f t="shared" si="2"/>
        <v>3772119.2</v>
      </c>
    </row>
    <row r="15" spans="1:45" s="16" customFormat="1" ht="14.25" customHeight="1">
      <c r="A15" s="12"/>
      <c r="B15" s="21"/>
      <c r="C15" s="21"/>
      <c r="D15" s="11"/>
      <c r="E15" s="9"/>
      <c r="F15" s="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8"/>
      <c r="R15" s="28"/>
      <c r="S15" s="25"/>
      <c r="T15" s="28"/>
      <c r="U15" s="28"/>
      <c r="V15" s="28"/>
      <c r="W15" s="30"/>
      <c r="X15" s="30"/>
      <c r="Y15" s="30"/>
      <c r="Z15" s="30"/>
      <c r="AA15" s="30"/>
      <c r="AB15" s="30"/>
      <c r="AC15" s="30"/>
      <c r="AD15" s="30"/>
      <c r="AE15" s="30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16" customFormat="1" ht="14.25" customHeight="1">
      <c r="A16" s="12"/>
      <c r="B16" s="21"/>
      <c r="C16" s="21" t="s">
        <v>47</v>
      </c>
      <c r="D16" s="21"/>
      <c r="E16" s="9"/>
      <c r="F16" s="9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5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16" customFormat="1" ht="14.25" customHeight="1">
      <c r="A17" s="12"/>
      <c r="B17" s="21"/>
      <c r="C17" s="21"/>
      <c r="D17" s="21" t="s">
        <v>229</v>
      </c>
      <c r="E17" s="9"/>
      <c r="F17" s="9"/>
      <c r="G17" s="26">
        <f>Assumptions!$C$15*Assumptions!$C$10</f>
        <v>125000</v>
      </c>
      <c r="H17" s="26">
        <f>Assumptions!$C$15*Assumptions!$C$10</f>
        <v>125000</v>
      </c>
      <c r="I17" s="26">
        <f>Assumptions!$C$15*Assumptions!$C$10</f>
        <v>125000</v>
      </c>
      <c r="J17" s="26">
        <f>Assumptions!$C$15*Assumptions!$C$10</f>
        <v>125000</v>
      </c>
      <c r="K17" s="26">
        <f>Assumptions!$C$15*Assumptions!$C$10</f>
        <v>125000</v>
      </c>
      <c r="L17" s="26">
        <f>Assumptions!$C$15*Assumptions!$C$10</f>
        <v>125000</v>
      </c>
      <c r="M17" s="26">
        <f>Assumptions!$C$15*Assumptions!$C$10</f>
        <v>125000</v>
      </c>
      <c r="N17" s="26">
        <f>Assumptions!$C$15*Assumptions!$C$10</f>
        <v>125000</v>
      </c>
      <c r="O17" s="26">
        <f>Assumptions!$C$15*Assumptions!$C$10</f>
        <v>125000</v>
      </c>
      <c r="P17" s="26">
        <f>Assumptions!$C$15*Assumptions!$C$10</f>
        <v>125000</v>
      </c>
      <c r="Q17" s="26">
        <f>Assumptions!$C$15*Assumptions!$C$10</f>
        <v>125000</v>
      </c>
      <c r="R17" s="26">
        <f>Assumptions!$C$15*Assumptions!$C$10</f>
        <v>125000</v>
      </c>
      <c r="S17" s="25">
        <f>SUM(G17:R17)</f>
        <v>1500000</v>
      </c>
      <c r="T17" s="26">
        <f>Assumptions!$C$15*Assumptions!$C$10</f>
        <v>125000</v>
      </c>
      <c r="U17" s="26">
        <f>Assumptions!$C$15*Assumptions!$C$10</f>
        <v>125000</v>
      </c>
      <c r="V17" s="26">
        <f>Assumptions!$C$15*Assumptions!$C$10</f>
        <v>125000</v>
      </c>
      <c r="W17" s="26">
        <f>Assumptions!$C$15*Assumptions!$C$10</f>
        <v>125000</v>
      </c>
      <c r="X17" s="26">
        <f>Assumptions!$C$15*Assumptions!$C$10</f>
        <v>125000</v>
      </c>
      <c r="Y17" s="26">
        <f>Assumptions!$C$15*Assumptions!$C$10</f>
        <v>125000</v>
      </c>
      <c r="Z17" s="26">
        <f>Assumptions!$C$15*Assumptions!$C$10</f>
        <v>125000</v>
      </c>
      <c r="AA17" s="26">
        <f>Assumptions!$C$15*Assumptions!$C$10</f>
        <v>125000</v>
      </c>
      <c r="AB17" s="26">
        <f>Assumptions!$C$15*Assumptions!$C$10</f>
        <v>125000</v>
      </c>
      <c r="AC17" s="26">
        <f>Assumptions!$C$15*Assumptions!$C$10</f>
        <v>125000</v>
      </c>
      <c r="AD17" s="26">
        <f>Assumptions!$C$15*Assumptions!$C$10</f>
        <v>125000</v>
      </c>
      <c r="AE17" s="26">
        <f>Assumptions!$C$15*Assumptions!$C$10</f>
        <v>125000</v>
      </c>
      <c r="AF17" s="25">
        <f>SUM(T17:AE17)</f>
        <v>1500000</v>
      </c>
      <c r="AG17" s="26">
        <f>Assumptions!$C$15*Assumptions!$C$10</f>
        <v>125000</v>
      </c>
      <c r="AH17" s="26">
        <f>Assumptions!$C$15*Assumptions!$C$10</f>
        <v>125000</v>
      </c>
      <c r="AI17" s="26">
        <f>Assumptions!$C$15*Assumptions!$C$10</f>
        <v>125000</v>
      </c>
      <c r="AJ17" s="26">
        <f>Assumptions!$C$15*Assumptions!$C$10</f>
        <v>125000</v>
      </c>
      <c r="AK17" s="26">
        <f>Assumptions!$C$15*Assumptions!$C$10</f>
        <v>125000</v>
      </c>
      <c r="AL17" s="26">
        <f>Assumptions!$C$15*Assumptions!$C$10</f>
        <v>125000</v>
      </c>
      <c r="AM17" s="26">
        <f>Assumptions!$C$15*Assumptions!$C$10</f>
        <v>125000</v>
      </c>
      <c r="AN17" s="26">
        <f>Assumptions!$C$15*Assumptions!$C$10</f>
        <v>125000</v>
      </c>
      <c r="AO17" s="26">
        <f>Assumptions!$C$15*Assumptions!$C$10</f>
        <v>125000</v>
      </c>
      <c r="AP17" s="26">
        <f>Assumptions!$C$15*Assumptions!$C$10</f>
        <v>125000</v>
      </c>
      <c r="AQ17" s="26">
        <f>Assumptions!$C$15*Assumptions!$C$10</f>
        <v>125000</v>
      </c>
      <c r="AR17" s="26">
        <f>Assumptions!$C$15*Assumptions!$C$10</f>
        <v>125000</v>
      </c>
      <c r="AS17" s="25">
        <f>SUM(AG17:AR17)</f>
        <v>1500000</v>
      </c>
    </row>
    <row r="18" spans="1:45" s="16" customFormat="1" ht="14.25" customHeight="1">
      <c r="A18" s="12"/>
      <c r="B18" s="21"/>
      <c r="C18" s="21"/>
      <c r="D18" s="21" t="s">
        <v>230</v>
      </c>
      <c r="E18" s="9"/>
      <c r="F18" s="9"/>
      <c r="G18" s="26">
        <f>Assumptions!$C$15*Assumptions!$C$11</f>
        <v>12500</v>
      </c>
      <c r="H18" s="26">
        <f>Assumptions!$C$15*Assumptions!$C$11</f>
        <v>12500</v>
      </c>
      <c r="I18" s="26">
        <f>Assumptions!$C$15*Assumptions!$C$11</f>
        <v>12500</v>
      </c>
      <c r="J18" s="26">
        <f>Assumptions!$C$15*Assumptions!$C$11</f>
        <v>12500</v>
      </c>
      <c r="K18" s="26">
        <f>Assumptions!$C$15*Assumptions!$C$11</f>
        <v>12500</v>
      </c>
      <c r="L18" s="26">
        <f>Assumptions!$C$15*Assumptions!$C$11</f>
        <v>12500</v>
      </c>
      <c r="M18" s="26">
        <f>Assumptions!$C$15*Assumptions!$C$11</f>
        <v>12500</v>
      </c>
      <c r="N18" s="26">
        <f>Assumptions!$C$15*Assumptions!$C$11</f>
        <v>12500</v>
      </c>
      <c r="O18" s="26">
        <f>Assumptions!$C$15*Assumptions!$C$11</f>
        <v>12500</v>
      </c>
      <c r="P18" s="26">
        <f>Assumptions!$C$15*Assumptions!$C$11</f>
        <v>12500</v>
      </c>
      <c r="Q18" s="26">
        <f>Assumptions!$C$15*Assumptions!$C$11</f>
        <v>12500</v>
      </c>
      <c r="R18" s="26">
        <f>Assumptions!$C$15*Assumptions!$C$11</f>
        <v>12500</v>
      </c>
      <c r="S18" s="25">
        <f>SUM(G18:R18)</f>
        <v>150000</v>
      </c>
      <c r="T18" s="26">
        <f>Assumptions!$C$15*Assumptions!$C$11</f>
        <v>12500</v>
      </c>
      <c r="U18" s="26">
        <f>Assumptions!$C$15*Assumptions!$C$11</f>
        <v>12500</v>
      </c>
      <c r="V18" s="26">
        <f>Assumptions!$C$15*Assumptions!$C$11</f>
        <v>12500</v>
      </c>
      <c r="W18" s="26">
        <f>Assumptions!$C$15*Assumptions!$C$11</f>
        <v>12500</v>
      </c>
      <c r="X18" s="26">
        <f>Assumptions!$C$15*Assumptions!$C$11</f>
        <v>12500</v>
      </c>
      <c r="Y18" s="26">
        <f>Assumptions!$C$15*Assumptions!$C$11</f>
        <v>12500</v>
      </c>
      <c r="Z18" s="26">
        <f>Assumptions!$C$15*Assumptions!$C$11</f>
        <v>12500</v>
      </c>
      <c r="AA18" s="26">
        <f>Assumptions!$C$15*Assumptions!$C$11</f>
        <v>12500</v>
      </c>
      <c r="AB18" s="26">
        <f>Assumptions!$C$15*Assumptions!$C$11</f>
        <v>12500</v>
      </c>
      <c r="AC18" s="26">
        <f>Assumptions!$C$15*Assumptions!$C$11</f>
        <v>12500</v>
      </c>
      <c r="AD18" s="26">
        <f>Assumptions!$C$15*Assumptions!$C$11</f>
        <v>12500</v>
      </c>
      <c r="AE18" s="26">
        <f>Assumptions!$C$15*Assumptions!$C$11</f>
        <v>12500</v>
      </c>
      <c r="AF18" s="25">
        <f>SUM(T18:AE18)</f>
        <v>150000</v>
      </c>
      <c r="AG18" s="26">
        <f>Assumptions!$C$15*Assumptions!$C$11</f>
        <v>12500</v>
      </c>
      <c r="AH18" s="26">
        <f>Assumptions!$C$15*Assumptions!$C$11</f>
        <v>12500</v>
      </c>
      <c r="AI18" s="26">
        <f>Assumptions!$C$15*Assumptions!$C$11</f>
        <v>12500</v>
      </c>
      <c r="AJ18" s="26">
        <f>Assumptions!$C$15*Assumptions!$C$11</f>
        <v>12500</v>
      </c>
      <c r="AK18" s="26">
        <f>Assumptions!$C$15*Assumptions!$C$11</f>
        <v>12500</v>
      </c>
      <c r="AL18" s="26">
        <f>Assumptions!$C$15*Assumptions!$C$11</f>
        <v>12500</v>
      </c>
      <c r="AM18" s="26">
        <f>Assumptions!$C$15*Assumptions!$C$11</f>
        <v>12500</v>
      </c>
      <c r="AN18" s="26">
        <f>Assumptions!$C$15*Assumptions!$C$11</f>
        <v>12500</v>
      </c>
      <c r="AO18" s="26">
        <f>Assumptions!$C$15*Assumptions!$C$11</f>
        <v>12500</v>
      </c>
      <c r="AP18" s="26">
        <f>Assumptions!$C$15*Assumptions!$C$11</f>
        <v>12500</v>
      </c>
      <c r="AQ18" s="26">
        <f>Assumptions!$C$15*Assumptions!$C$11</f>
        <v>12500</v>
      </c>
      <c r="AR18" s="26">
        <f>Assumptions!$C$15*Assumptions!$C$11</f>
        <v>12500</v>
      </c>
      <c r="AS18" s="25">
        <f>SUM(AG18:AR18)</f>
        <v>150000</v>
      </c>
    </row>
    <row r="19" spans="1:45" s="16" customFormat="1" ht="14.25" customHeight="1">
      <c r="A19" s="12"/>
      <c r="B19" s="21"/>
      <c r="C19" s="21"/>
      <c r="D19" s="31" t="s">
        <v>231</v>
      </c>
      <c r="E19" s="9"/>
      <c r="F19" s="8">
        <v>0.0321</v>
      </c>
      <c r="G19" s="26">
        <f aca="true" t="shared" si="3" ref="G19:R19">ROUND($G$10*$F$19,0)</f>
        <v>8527</v>
      </c>
      <c r="H19" s="26">
        <f t="shared" si="3"/>
        <v>8527</v>
      </c>
      <c r="I19" s="26">
        <f t="shared" si="3"/>
        <v>8527</v>
      </c>
      <c r="J19" s="26">
        <f t="shared" si="3"/>
        <v>8527</v>
      </c>
      <c r="K19" s="26">
        <f t="shared" si="3"/>
        <v>8527</v>
      </c>
      <c r="L19" s="26">
        <f t="shared" si="3"/>
        <v>8527</v>
      </c>
      <c r="M19" s="26">
        <f t="shared" si="3"/>
        <v>8527</v>
      </c>
      <c r="N19" s="26">
        <f t="shared" si="3"/>
        <v>8527</v>
      </c>
      <c r="O19" s="26">
        <f t="shared" si="3"/>
        <v>8527</v>
      </c>
      <c r="P19" s="26">
        <f t="shared" si="3"/>
        <v>8527</v>
      </c>
      <c r="Q19" s="26">
        <f t="shared" si="3"/>
        <v>8527</v>
      </c>
      <c r="R19" s="26">
        <f t="shared" si="3"/>
        <v>8527</v>
      </c>
      <c r="S19" s="25">
        <f>SUM(G19:R19)</f>
        <v>102324</v>
      </c>
      <c r="T19" s="26">
        <f aca="true" t="shared" si="4" ref="T19:AE19">ROUND($G$10*$F$19,0)</f>
        <v>8527</v>
      </c>
      <c r="U19" s="26">
        <f t="shared" si="4"/>
        <v>8527</v>
      </c>
      <c r="V19" s="26">
        <f t="shared" si="4"/>
        <v>8527</v>
      </c>
      <c r="W19" s="26">
        <f t="shared" si="4"/>
        <v>8527</v>
      </c>
      <c r="X19" s="26">
        <f t="shared" si="4"/>
        <v>8527</v>
      </c>
      <c r="Y19" s="26">
        <f t="shared" si="4"/>
        <v>8527</v>
      </c>
      <c r="Z19" s="26">
        <f t="shared" si="4"/>
        <v>8527</v>
      </c>
      <c r="AA19" s="26">
        <f t="shared" si="4"/>
        <v>8527</v>
      </c>
      <c r="AB19" s="26">
        <f t="shared" si="4"/>
        <v>8527</v>
      </c>
      <c r="AC19" s="26">
        <f t="shared" si="4"/>
        <v>8527</v>
      </c>
      <c r="AD19" s="26">
        <f t="shared" si="4"/>
        <v>8527</v>
      </c>
      <c r="AE19" s="26">
        <f t="shared" si="4"/>
        <v>8527</v>
      </c>
      <c r="AF19" s="25">
        <f>SUM(T19:AE19)</f>
        <v>102324</v>
      </c>
      <c r="AG19" s="26">
        <f aca="true" t="shared" si="5" ref="AG19:AR19">ROUND($G$10*$F$19,0)</f>
        <v>8527</v>
      </c>
      <c r="AH19" s="26">
        <f t="shared" si="5"/>
        <v>8527</v>
      </c>
      <c r="AI19" s="26">
        <f t="shared" si="5"/>
        <v>8527</v>
      </c>
      <c r="AJ19" s="26">
        <f t="shared" si="5"/>
        <v>8527</v>
      </c>
      <c r="AK19" s="26">
        <f t="shared" si="5"/>
        <v>8527</v>
      </c>
      <c r="AL19" s="26">
        <f t="shared" si="5"/>
        <v>8527</v>
      </c>
      <c r="AM19" s="26">
        <f t="shared" si="5"/>
        <v>8527</v>
      </c>
      <c r="AN19" s="26">
        <f t="shared" si="5"/>
        <v>8527</v>
      </c>
      <c r="AO19" s="26">
        <f t="shared" si="5"/>
        <v>8527</v>
      </c>
      <c r="AP19" s="26">
        <f t="shared" si="5"/>
        <v>8527</v>
      </c>
      <c r="AQ19" s="26">
        <f t="shared" si="5"/>
        <v>8527</v>
      </c>
      <c r="AR19" s="26">
        <f t="shared" si="5"/>
        <v>8527</v>
      </c>
      <c r="AS19" s="25">
        <f>SUM(AG19:AR19)</f>
        <v>102324</v>
      </c>
    </row>
    <row r="20" spans="1:45" s="16" customFormat="1" ht="14.25" customHeight="1">
      <c r="A20" s="12"/>
      <c r="B20" s="21"/>
      <c r="C20" s="21"/>
      <c r="D20" s="31" t="s">
        <v>232</v>
      </c>
      <c r="E20" s="9"/>
      <c r="F20" s="9"/>
      <c r="G20" s="26">
        <f>G8</f>
        <v>15625</v>
      </c>
      <c r="H20" s="26">
        <f aca="true" t="shared" si="6" ref="H20:AR20">H8</f>
        <v>15625</v>
      </c>
      <c r="I20" s="26">
        <f t="shared" si="6"/>
        <v>15625</v>
      </c>
      <c r="J20" s="26">
        <f t="shared" si="6"/>
        <v>15625</v>
      </c>
      <c r="K20" s="26">
        <f t="shared" si="6"/>
        <v>15625</v>
      </c>
      <c r="L20" s="26">
        <f t="shared" si="6"/>
        <v>15625</v>
      </c>
      <c r="M20" s="26">
        <f t="shared" si="6"/>
        <v>15625</v>
      </c>
      <c r="N20" s="26">
        <f t="shared" si="6"/>
        <v>15625</v>
      </c>
      <c r="O20" s="26">
        <f t="shared" si="6"/>
        <v>15625</v>
      </c>
      <c r="P20" s="26">
        <f t="shared" si="6"/>
        <v>15625</v>
      </c>
      <c r="Q20" s="26">
        <f t="shared" si="6"/>
        <v>15625</v>
      </c>
      <c r="R20" s="26">
        <f t="shared" si="6"/>
        <v>15625</v>
      </c>
      <c r="S20" s="25">
        <f>SUM(G20:R20)</f>
        <v>187500</v>
      </c>
      <c r="T20" s="26">
        <f t="shared" si="6"/>
        <v>15625</v>
      </c>
      <c r="U20" s="26">
        <f t="shared" si="6"/>
        <v>15625</v>
      </c>
      <c r="V20" s="26">
        <f t="shared" si="6"/>
        <v>15625</v>
      </c>
      <c r="W20" s="26">
        <f t="shared" si="6"/>
        <v>15625</v>
      </c>
      <c r="X20" s="26">
        <f t="shared" si="6"/>
        <v>15625</v>
      </c>
      <c r="Y20" s="26">
        <f t="shared" si="6"/>
        <v>15625</v>
      </c>
      <c r="Z20" s="26">
        <f t="shared" si="6"/>
        <v>15625</v>
      </c>
      <c r="AA20" s="26">
        <f t="shared" si="6"/>
        <v>15625</v>
      </c>
      <c r="AB20" s="26">
        <f t="shared" si="6"/>
        <v>15625</v>
      </c>
      <c r="AC20" s="26">
        <f t="shared" si="6"/>
        <v>15625</v>
      </c>
      <c r="AD20" s="26">
        <f t="shared" si="6"/>
        <v>15625</v>
      </c>
      <c r="AE20" s="26">
        <f t="shared" si="6"/>
        <v>15625</v>
      </c>
      <c r="AF20" s="25">
        <f>SUM(T20:AE20)</f>
        <v>187500</v>
      </c>
      <c r="AG20" s="26">
        <f t="shared" si="6"/>
        <v>15625</v>
      </c>
      <c r="AH20" s="26">
        <f t="shared" si="6"/>
        <v>15625</v>
      </c>
      <c r="AI20" s="26">
        <f t="shared" si="6"/>
        <v>15625</v>
      </c>
      <c r="AJ20" s="26">
        <f t="shared" si="6"/>
        <v>15625</v>
      </c>
      <c r="AK20" s="26">
        <f t="shared" si="6"/>
        <v>15625</v>
      </c>
      <c r="AL20" s="26">
        <f t="shared" si="6"/>
        <v>15625</v>
      </c>
      <c r="AM20" s="26">
        <f t="shared" si="6"/>
        <v>15625</v>
      </c>
      <c r="AN20" s="26">
        <f t="shared" si="6"/>
        <v>15625</v>
      </c>
      <c r="AO20" s="26">
        <f t="shared" si="6"/>
        <v>15625</v>
      </c>
      <c r="AP20" s="26">
        <f t="shared" si="6"/>
        <v>15625</v>
      </c>
      <c r="AQ20" s="26">
        <f t="shared" si="6"/>
        <v>15625</v>
      </c>
      <c r="AR20" s="26">
        <f t="shared" si="6"/>
        <v>15625</v>
      </c>
      <c r="AS20" s="25">
        <f>SUM(AG20:AR20)</f>
        <v>187500</v>
      </c>
    </row>
    <row r="21" spans="1:45" s="16" customFormat="1" ht="14.25" customHeight="1">
      <c r="A21" s="12"/>
      <c r="B21" s="21"/>
      <c r="C21" s="9"/>
      <c r="D21" s="31" t="s">
        <v>46</v>
      </c>
      <c r="E21" s="9"/>
      <c r="F21" s="32"/>
      <c r="G21" s="10">
        <f>-('AR Portfolio Growth'!B15+'AR Portfolio Growth'!B16)</f>
        <v>382</v>
      </c>
      <c r="H21" s="10">
        <f>-('AR Portfolio Growth'!C15+'AR Portfolio Growth'!C16)</f>
        <v>1353</v>
      </c>
      <c r="I21" s="10">
        <f>-('AR Portfolio Growth'!D15+'AR Portfolio Growth'!D16)</f>
        <v>3811</v>
      </c>
      <c r="J21" s="10">
        <f>-('AR Portfolio Growth'!E15+'AR Portfolio Growth'!E16)</f>
        <v>7788</v>
      </c>
      <c r="K21" s="10">
        <f>-('AR Portfolio Growth'!F15+'AR Portfolio Growth'!F16)</f>
        <v>13543</v>
      </c>
      <c r="L21" s="10">
        <f>-('AR Portfolio Growth'!G15+'AR Portfolio Growth'!G16)</f>
        <v>18093</v>
      </c>
      <c r="M21" s="10">
        <f>-('AR Portfolio Growth'!H15+'AR Portfolio Growth'!H16)</f>
        <v>22815</v>
      </c>
      <c r="N21" s="10">
        <f>-('AR Portfolio Growth'!I15+'AR Portfolio Growth'!I16)</f>
        <v>28357</v>
      </c>
      <c r="O21" s="10">
        <f>-('AR Portfolio Growth'!J15+'AR Portfolio Growth'!J16)</f>
        <v>32975</v>
      </c>
      <c r="P21" s="10">
        <f>-('AR Portfolio Growth'!K15+'AR Portfolio Growth'!K16)</f>
        <v>37300</v>
      </c>
      <c r="Q21" s="10">
        <f>-('AR Portfolio Growth'!L15+'AR Portfolio Growth'!L16)</f>
        <v>40542</v>
      </c>
      <c r="R21" s="10">
        <f>-('AR Portfolio Growth'!M15+'AR Portfolio Growth'!M16)</f>
        <v>43436</v>
      </c>
      <c r="S21" s="10">
        <f>SUM(G21:R21)</f>
        <v>250395</v>
      </c>
      <c r="T21" s="10">
        <f>-('AR Portfolio Growth'!O15+'AR Portfolio Growth'!O16)</f>
        <v>45677</v>
      </c>
      <c r="U21" s="10">
        <f>-('AR Portfolio Growth'!P15+'AR Portfolio Growth'!P16)</f>
        <v>47212</v>
      </c>
      <c r="V21" s="10">
        <f>-('AR Portfolio Growth'!Q15+'AR Portfolio Growth'!Q16)</f>
        <v>49066</v>
      </c>
      <c r="W21" s="10">
        <f>-('AR Portfolio Growth'!R15+'AR Portfolio Growth'!R16)</f>
        <v>50501</v>
      </c>
      <c r="X21" s="10">
        <f>-('AR Portfolio Growth'!S15+'AR Portfolio Growth'!S16)</f>
        <v>51625</v>
      </c>
      <c r="Y21" s="10">
        <f>-('AR Portfolio Growth'!T15+'AR Portfolio Growth'!T16)</f>
        <v>52814</v>
      </c>
      <c r="Z21" s="10">
        <f>-('AR Portfolio Growth'!U15+'AR Portfolio Growth'!U16)</f>
        <v>53359</v>
      </c>
      <c r="AA21" s="10">
        <f>-('AR Portfolio Growth'!V15+'AR Portfolio Growth'!V16)</f>
        <v>53913</v>
      </c>
      <c r="AB21" s="10">
        <f>-('AR Portfolio Growth'!W15+'AR Portfolio Growth'!W16)</f>
        <v>54563</v>
      </c>
      <c r="AC21" s="10">
        <f>-('AR Portfolio Growth'!X15+'AR Portfolio Growth'!X16)</f>
        <v>54922</v>
      </c>
      <c r="AD21" s="10">
        <f>-('AR Portfolio Growth'!Y15+'AR Portfolio Growth'!Y16)</f>
        <v>55298</v>
      </c>
      <c r="AE21" s="10">
        <f>-('AR Portfolio Growth'!Z15+'AR Portfolio Growth'!Z16)</f>
        <v>55477</v>
      </c>
      <c r="AF21" s="25">
        <f>SUM(T21:AE21)</f>
        <v>624427</v>
      </c>
      <c r="AG21" s="10">
        <f>-('AR Portfolio Growth'!AB15+'AR Portfolio Growth'!AB16)</f>
        <v>55647</v>
      </c>
      <c r="AH21" s="10">
        <f>-('AR Portfolio Growth'!AC15+'AR Portfolio Growth'!AC16)</f>
        <v>55773</v>
      </c>
      <c r="AI21" s="10">
        <f>-('AR Portfolio Growth'!AD15+'AR Portfolio Growth'!AD16)</f>
        <v>55852</v>
      </c>
      <c r="AJ21" s="10">
        <f>-('AR Portfolio Growth'!AE15+'AR Portfolio Growth'!AE16)</f>
        <v>56005</v>
      </c>
      <c r="AK21" s="10">
        <f>-('AR Portfolio Growth'!AF15+'AR Portfolio Growth'!AF16)</f>
        <v>56121</v>
      </c>
      <c r="AL21" s="10">
        <f>-('AR Portfolio Growth'!AG15+'AR Portfolio Growth'!AG16)</f>
        <v>56165</v>
      </c>
      <c r="AM21" s="10">
        <f>-('AR Portfolio Growth'!AH15+'AR Portfolio Growth'!AH16)</f>
        <v>56219</v>
      </c>
      <c r="AN21" s="10">
        <f>-('AR Portfolio Growth'!AI15+'AR Portfolio Growth'!AI16)</f>
        <v>56249</v>
      </c>
      <c r="AO21" s="10">
        <f>-('AR Portfolio Growth'!AJ15+'AR Portfolio Growth'!AJ16)</f>
        <v>56249</v>
      </c>
      <c r="AP21" s="10">
        <f>-('AR Portfolio Growth'!AK15+'AR Portfolio Growth'!AK16)</f>
        <v>56249</v>
      </c>
      <c r="AQ21" s="10">
        <f>-('AR Portfolio Growth'!AL15+'AR Portfolio Growth'!AL16)</f>
        <v>56249</v>
      </c>
      <c r="AR21" s="10">
        <f>-('AR Portfolio Growth'!AM15+'AR Portfolio Growth'!AM16)</f>
        <v>56250</v>
      </c>
      <c r="AS21" s="25">
        <f>SUM(AG21:AR21)</f>
        <v>673028</v>
      </c>
    </row>
    <row r="22" spans="1:45" s="16" customFormat="1" ht="14.25" customHeight="1">
      <c r="A22" s="12"/>
      <c r="B22" s="21"/>
      <c r="C22" s="21" t="s">
        <v>48</v>
      </c>
      <c r="D22" s="21"/>
      <c r="E22" s="9"/>
      <c r="F22" s="9"/>
      <c r="G22" s="34">
        <f aca="true" t="shared" si="7" ref="G22:AS22">SUM(G17:G21)</f>
        <v>162034</v>
      </c>
      <c r="H22" s="34">
        <f t="shared" si="7"/>
        <v>163005</v>
      </c>
      <c r="I22" s="34">
        <f t="shared" si="7"/>
        <v>165463</v>
      </c>
      <c r="J22" s="34">
        <f t="shared" si="7"/>
        <v>169440</v>
      </c>
      <c r="K22" s="34">
        <f t="shared" si="7"/>
        <v>175195</v>
      </c>
      <c r="L22" s="34">
        <f t="shared" si="7"/>
        <v>179745</v>
      </c>
      <c r="M22" s="34">
        <f t="shared" si="7"/>
        <v>184467</v>
      </c>
      <c r="N22" s="34">
        <f t="shared" si="7"/>
        <v>190009</v>
      </c>
      <c r="O22" s="34">
        <f t="shared" si="7"/>
        <v>194627</v>
      </c>
      <c r="P22" s="34">
        <f t="shared" si="7"/>
        <v>198952</v>
      </c>
      <c r="Q22" s="34">
        <f t="shared" si="7"/>
        <v>202194</v>
      </c>
      <c r="R22" s="34">
        <f t="shared" si="7"/>
        <v>205088</v>
      </c>
      <c r="S22" s="34">
        <f t="shared" si="7"/>
        <v>2190219</v>
      </c>
      <c r="T22" s="34">
        <f t="shared" si="7"/>
        <v>207329</v>
      </c>
      <c r="U22" s="34">
        <f t="shared" si="7"/>
        <v>208864</v>
      </c>
      <c r="V22" s="34">
        <f t="shared" si="7"/>
        <v>210718</v>
      </c>
      <c r="W22" s="34">
        <f t="shared" si="7"/>
        <v>212153</v>
      </c>
      <c r="X22" s="34">
        <f t="shared" si="7"/>
        <v>213277</v>
      </c>
      <c r="Y22" s="34">
        <f t="shared" si="7"/>
        <v>214466</v>
      </c>
      <c r="Z22" s="34">
        <f t="shared" si="7"/>
        <v>215011</v>
      </c>
      <c r="AA22" s="34">
        <f t="shared" si="7"/>
        <v>215565</v>
      </c>
      <c r="AB22" s="34">
        <f t="shared" si="7"/>
        <v>216215</v>
      </c>
      <c r="AC22" s="34">
        <f t="shared" si="7"/>
        <v>216574</v>
      </c>
      <c r="AD22" s="34">
        <f t="shared" si="7"/>
        <v>216950</v>
      </c>
      <c r="AE22" s="34">
        <f t="shared" si="7"/>
        <v>217129</v>
      </c>
      <c r="AF22" s="34">
        <f t="shared" si="7"/>
        <v>2564251</v>
      </c>
      <c r="AG22" s="34">
        <f t="shared" si="7"/>
        <v>217299</v>
      </c>
      <c r="AH22" s="34">
        <f t="shared" si="7"/>
        <v>217425</v>
      </c>
      <c r="AI22" s="34">
        <f t="shared" si="7"/>
        <v>217504</v>
      </c>
      <c r="AJ22" s="34">
        <f t="shared" si="7"/>
        <v>217657</v>
      </c>
      <c r="AK22" s="34">
        <f t="shared" si="7"/>
        <v>217773</v>
      </c>
      <c r="AL22" s="34">
        <f t="shared" si="7"/>
        <v>217817</v>
      </c>
      <c r="AM22" s="34">
        <f t="shared" si="7"/>
        <v>217871</v>
      </c>
      <c r="AN22" s="34">
        <f t="shared" si="7"/>
        <v>217901</v>
      </c>
      <c r="AO22" s="34">
        <f t="shared" si="7"/>
        <v>217901</v>
      </c>
      <c r="AP22" s="34">
        <f t="shared" si="7"/>
        <v>217901</v>
      </c>
      <c r="AQ22" s="34">
        <f t="shared" si="7"/>
        <v>217901</v>
      </c>
      <c r="AR22" s="34">
        <f t="shared" si="7"/>
        <v>217902</v>
      </c>
      <c r="AS22" s="34">
        <f t="shared" si="7"/>
        <v>2612852</v>
      </c>
    </row>
    <row r="23" spans="1:45" s="16" customFormat="1" ht="14.25" customHeight="1">
      <c r="A23" s="12"/>
      <c r="B23" s="21" t="s">
        <v>8</v>
      </c>
      <c r="C23" s="21"/>
      <c r="D23" s="21"/>
      <c r="E23" s="9"/>
      <c r="F23" s="9"/>
      <c r="G23" s="89">
        <f aca="true" t="shared" si="8" ref="G23:AS23">G14-G22</f>
        <v>105869.5</v>
      </c>
      <c r="H23" s="89">
        <f t="shared" si="8"/>
        <v>107254.84999999998</v>
      </c>
      <c r="I23" s="89">
        <f t="shared" si="8"/>
        <v>107228.70000000001</v>
      </c>
      <c r="J23" s="89">
        <f t="shared" si="8"/>
        <v>105627.65000000002</v>
      </c>
      <c r="K23" s="89">
        <f t="shared" si="8"/>
        <v>102193.79999999999</v>
      </c>
      <c r="L23" s="89">
        <f t="shared" si="8"/>
        <v>99907.15000000002</v>
      </c>
      <c r="M23" s="89">
        <f t="shared" si="8"/>
        <v>97391.65000000002</v>
      </c>
      <c r="N23" s="89">
        <f t="shared" si="8"/>
        <v>93997.29999999999</v>
      </c>
      <c r="O23" s="89">
        <f t="shared" si="8"/>
        <v>91468.09999999998</v>
      </c>
      <c r="P23" s="89">
        <f t="shared" si="8"/>
        <v>89171.04999999999</v>
      </c>
      <c r="Q23" s="89">
        <f t="shared" si="8"/>
        <v>87897.25</v>
      </c>
      <c r="R23" s="89">
        <f t="shared" si="8"/>
        <v>86908.65000000002</v>
      </c>
      <c r="S23" s="89">
        <f t="shared" si="8"/>
        <v>1174915.65</v>
      </c>
      <c r="T23" s="89">
        <f t="shared" si="8"/>
        <v>86509.20000000001</v>
      </c>
      <c r="U23" s="89">
        <f t="shared" si="8"/>
        <v>86753.90000000002</v>
      </c>
      <c r="V23" s="89">
        <f t="shared" si="8"/>
        <v>86612.84999999998</v>
      </c>
      <c r="W23" s="89">
        <f t="shared" si="8"/>
        <v>86826</v>
      </c>
      <c r="X23" s="89">
        <f t="shared" si="8"/>
        <v>87283.29999999999</v>
      </c>
      <c r="Y23" s="89">
        <f t="shared" si="8"/>
        <v>87607.84999999998</v>
      </c>
      <c r="Z23" s="89">
        <f t="shared" si="8"/>
        <v>88506.59999999998</v>
      </c>
      <c r="AA23" s="89">
        <f t="shared" si="8"/>
        <v>89327.5</v>
      </c>
      <c r="AB23" s="89">
        <f t="shared" si="8"/>
        <v>89980.65000000002</v>
      </c>
      <c r="AC23" s="89">
        <f t="shared" si="8"/>
        <v>90854</v>
      </c>
      <c r="AD23" s="89">
        <f t="shared" si="8"/>
        <v>91636.5</v>
      </c>
      <c r="AE23" s="89">
        <f t="shared" si="8"/>
        <v>92543.25</v>
      </c>
      <c r="AF23" s="89">
        <f t="shared" si="8"/>
        <v>1064441.6</v>
      </c>
      <c r="AG23" s="89">
        <f t="shared" si="8"/>
        <v>93382.29999999999</v>
      </c>
      <c r="AH23" s="89">
        <f t="shared" si="8"/>
        <v>94189.54999999999</v>
      </c>
      <c r="AI23" s="89">
        <f t="shared" si="8"/>
        <v>94966.04999999999</v>
      </c>
      <c r="AJ23" s="89">
        <f t="shared" si="8"/>
        <v>95589.75</v>
      </c>
      <c r="AK23" s="89">
        <f t="shared" si="8"/>
        <v>96171.59999999998</v>
      </c>
      <c r="AL23" s="89">
        <f t="shared" si="8"/>
        <v>96742.79999999999</v>
      </c>
      <c r="AM23" s="89">
        <f t="shared" si="8"/>
        <v>97222.25</v>
      </c>
      <c r="AN23" s="89">
        <f t="shared" si="8"/>
        <v>97642.84999999998</v>
      </c>
      <c r="AO23" s="89">
        <f t="shared" si="8"/>
        <v>98008.79999999999</v>
      </c>
      <c r="AP23" s="89">
        <f t="shared" si="8"/>
        <v>98287.90000000002</v>
      </c>
      <c r="AQ23" s="89">
        <f t="shared" si="8"/>
        <v>98480.29999999999</v>
      </c>
      <c r="AR23" s="89">
        <f t="shared" si="8"/>
        <v>98583.04999999999</v>
      </c>
      <c r="AS23" s="89">
        <f t="shared" si="8"/>
        <v>1159267.2000000002</v>
      </c>
    </row>
    <row r="24" spans="1:45" s="16" customFormat="1" ht="14.25" customHeight="1">
      <c r="A24" s="12"/>
      <c r="B24" s="21"/>
      <c r="C24" s="21"/>
      <c r="D24" s="21"/>
      <c r="E24" s="9"/>
      <c r="F24" s="9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36"/>
      <c r="S24" s="36"/>
      <c r="T24" s="36"/>
      <c r="U24" s="36"/>
      <c r="V24" s="36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</row>
    <row r="25" spans="1:45" s="16" customFormat="1" ht="14.25" customHeight="1">
      <c r="A25" s="12"/>
      <c r="B25" s="21"/>
      <c r="C25" s="21" t="s">
        <v>125</v>
      </c>
      <c r="D25" s="21"/>
      <c r="E25" s="9"/>
      <c r="F25" s="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8"/>
      <c r="R25" s="28"/>
      <c r="S25" s="28"/>
      <c r="T25" s="28"/>
      <c r="U25" s="28"/>
      <c r="V25" s="28"/>
      <c r="W25" s="30"/>
      <c r="X25" s="30"/>
      <c r="Y25" s="30"/>
      <c r="Z25" s="30"/>
      <c r="AA25" s="30"/>
      <c r="AB25" s="30"/>
      <c r="AC25" s="30"/>
      <c r="AD25" s="30"/>
      <c r="AE25" s="30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s="16" customFormat="1" ht="14.25" customHeight="1">
      <c r="A26" s="12"/>
      <c r="B26" s="21"/>
      <c r="C26" s="21"/>
      <c r="D26" s="21" t="s">
        <v>233</v>
      </c>
      <c r="E26" s="9"/>
      <c r="F26" s="8">
        <v>0.025</v>
      </c>
      <c r="G26" s="30">
        <f aca="true" t="shared" si="9" ref="G26:G37">ROUND(F26*$G$10,0)</f>
        <v>6641</v>
      </c>
      <c r="H26" s="30">
        <f aca="true" t="shared" si="10" ref="H26:R26">G26</f>
        <v>6641</v>
      </c>
      <c r="I26" s="30">
        <f t="shared" si="10"/>
        <v>6641</v>
      </c>
      <c r="J26" s="30">
        <f t="shared" si="10"/>
        <v>6641</v>
      </c>
      <c r="K26" s="30">
        <f t="shared" si="10"/>
        <v>6641</v>
      </c>
      <c r="L26" s="30">
        <f t="shared" si="10"/>
        <v>6641</v>
      </c>
      <c r="M26" s="30">
        <f t="shared" si="10"/>
        <v>6641</v>
      </c>
      <c r="N26" s="30">
        <f t="shared" si="10"/>
        <v>6641</v>
      </c>
      <c r="O26" s="30">
        <f t="shared" si="10"/>
        <v>6641</v>
      </c>
      <c r="P26" s="30">
        <f t="shared" si="10"/>
        <v>6641</v>
      </c>
      <c r="Q26" s="30">
        <f t="shared" si="10"/>
        <v>6641</v>
      </c>
      <c r="R26" s="30">
        <f t="shared" si="10"/>
        <v>6641</v>
      </c>
      <c r="S26" s="28">
        <f>SUM(G26:R26)</f>
        <v>79692</v>
      </c>
      <c r="T26" s="30">
        <f aca="true" t="shared" si="11" ref="T26:T37">R26</f>
        <v>6641</v>
      </c>
      <c r="U26" s="30">
        <f aca="true" t="shared" si="12" ref="U26:AE26">T26</f>
        <v>6641</v>
      </c>
      <c r="V26" s="30">
        <f t="shared" si="12"/>
        <v>6641</v>
      </c>
      <c r="W26" s="30">
        <f t="shared" si="12"/>
        <v>6641</v>
      </c>
      <c r="X26" s="30">
        <f t="shared" si="12"/>
        <v>6641</v>
      </c>
      <c r="Y26" s="30">
        <f t="shared" si="12"/>
        <v>6641</v>
      </c>
      <c r="Z26" s="30">
        <f t="shared" si="12"/>
        <v>6641</v>
      </c>
      <c r="AA26" s="30">
        <f t="shared" si="12"/>
        <v>6641</v>
      </c>
      <c r="AB26" s="30">
        <f t="shared" si="12"/>
        <v>6641</v>
      </c>
      <c r="AC26" s="30">
        <f t="shared" si="12"/>
        <v>6641</v>
      </c>
      <c r="AD26" s="30">
        <f t="shared" si="12"/>
        <v>6641</v>
      </c>
      <c r="AE26" s="30">
        <f t="shared" si="12"/>
        <v>6641</v>
      </c>
      <c r="AF26" s="28">
        <f aca="true" t="shared" si="13" ref="AF26:AF42">SUM(T26:AE26)</f>
        <v>79692</v>
      </c>
      <c r="AG26" s="30">
        <f>AE26</f>
        <v>6641</v>
      </c>
      <c r="AH26" s="30">
        <f aca="true" t="shared" si="14" ref="AH26:AR26">AG26</f>
        <v>6641</v>
      </c>
      <c r="AI26" s="30">
        <f t="shared" si="14"/>
        <v>6641</v>
      </c>
      <c r="AJ26" s="30">
        <f t="shared" si="14"/>
        <v>6641</v>
      </c>
      <c r="AK26" s="30">
        <f t="shared" si="14"/>
        <v>6641</v>
      </c>
      <c r="AL26" s="30">
        <f t="shared" si="14"/>
        <v>6641</v>
      </c>
      <c r="AM26" s="30">
        <f t="shared" si="14"/>
        <v>6641</v>
      </c>
      <c r="AN26" s="30">
        <f t="shared" si="14"/>
        <v>6641</v>
      </c>
      <c r="AO26" s="30">
        <f t="shared" si="14"/>
        <v>6641</v>
      </c>
      <c r="AP26" s="30">
        <f t="shared" si="14"/>
        <v>6641</v>
      </c>
      <c r="AQ26" s="30">
        <f t="shared" si="14"/>
        <v>6641</v>
      </c>
      <c r="AR26" s="30">
        <f t="shared" si="14"/>
        <v>6641</v>
      </c>
      <c r="AS26" s="28">
        <f aca="true" t="shared" si="15" ref="AS26:AS42">SUM(AG26:AR26)</f>
        <v>79692</v>
      </c>
    </row>
    <row r="27" spans="1:46" s="16" customFormat="1" ht="14.25" customHeight="1">
      <c r="A27" s="12"/>
      <c r="B27" s="21"/>
      <c r="C27" s="21"/>
      <c r="D27" s="31" t="s">
        <v>49</v>
      </c>
      <c r="E27" s="9"/>
      <c r="F27" s="8">
        <v>0.0027</v>
      </c>
      <c r="G27" s="30">
        <f t="shared" si="9"/>
        <v>717</v>
      </c>
      <c r="H27" s="30">
        <f aca="true" t="shared" si="16" ref="H27:I37">G27</f>
        <v>717</v>
      </c>
      <c r="I27" s="30">
        <f t="shared" si="16"/>
        <v>717</v>
      </c>
      <c r="J27" s="30">
        <f aca="true" t="shared" si="17" ref="J27:R27">I27</f>
        <v>717</v>
      </c>
      <c r="K27" s="30">
        <f t="shared" si="17"/>
        <v>717</v>
      </c>
      <c r="L27" s="30">
        <f t="shared" si="17"/>
        <v>717</v>
      </c>
      <c r="M27" s="30">
        <f t="shared" si="17"/>
        <v>717</v>
      </c>
      <c r="N27" s="30">
        <f t="shared" si="17"/>
        <v>717</v>
      </c>
      <c r="O27" s="30">
        <f t="shared" si="17"/>
        <v>717</v>
      </c>
      <c r="P27" s="30">
        <f t="shared" si="17"/>
        <v>717</v>
      </c>
      <c r="Q27" s="30">
        <f t="shared" si="17"/>
        <v>717</v>
      </c>
      <c r="R27" s="30">
        <f t="shared" si="17"/>
        <v>717</v>
      </c>
      <c r="S27" s="28">
        <f>SUM(G27:R27)</f>
        <v>8604</v>
      </c>
      <c r="T27" s="30">
        <f t="shared" si="11"/>
        <v>717</v>
      </c>
      <c r="U27" s="30">
        <f aca="true" t="shared" si="18" ref="U27:V37">T27</f>
        <v>717</v>
      </c>
      <c r="V27" s="30">
        <f t="shared" si="18"/>
        <v>717</v>
      </c>
      <c r="W27" s="30">
        <f aca="true" t="shared" si="19" ref="W27:AE27">V27</f>
        <v>717</v>
      </c>
      <c r="X27" s="30">
        <f t="shared" si="19"/>
        <v>717</v>
      </c>
      <c r="Y27" s="30">
        <f t="shared" si="19"/>
        <v>717</v>
      </c>
      <c r="Z27" s="30">
        <f t="shared" si="19"/>
        <v>717</v>
      </c>
      <c r="AA27" s="30">
        <f t="shared" si="19"/>
        <v>717</v>
      </c>
      <c r="AB27" s="30">
        <f t="shared" si="19"/>
        <v>717</v>
      </c>
      <c r="AC27" s="30">
        <f t="shared" si="19"/>
        <v>717</v>
      </c>
      <c r="AD27" s="30">
        <f t="shared" si="19"/>
        <v>717</v>
      </c>
      <c r="AE27" s="30">
        <f t="shared" si="19"/>
        <v>717</v>
      </c>
      <c r="AF27" s="28">
        <f t="shared" si="13"/>
        <v>8604</v>
      </c>
      <c r="AG27" s="30">
        <f aca="true" t="shared" si="20" ref="AG27:AG37">AE27</f>
        <v>717</v>
      </c>
      <c r="AH27" s="30">
        <f aca="true" t="shared" si="21" ref="AH27:AI41">AG27</f>
        <v>717</v>
      </c>
      <c r="AI27" s="30">
        <f t="shared" si="21"/>
        <v>717</v>
      </c>
      <c r="AJ27" s="30">
        <f aca="true" t="shared" si="22" ref="AJ27:AR27">AI27</f>
        <v>717</v>
      </c>
      <c r="AK27" s="30">
        <f t="shared" si="22"/>
        <v>717</v>
      </c>
      <c r="AL27" s="30">
        <f t="shared" si="22"/>
        <v>717</v>
      </c>
      <c r="AM27" s="30">
        <f t="shared" si="22"/>
        <v>717</v>
      </c>
      <c r="AN27" s="30">
        <f t="shared" si="22"/>
        <v>717</v>
      </c>
      <c r="AO27" s="30">
        <f t="shared" si="22"/>
        <v>717</v>
      </c>
      <c r="AP27" s="30">
        <f t="shared" si="22"/>
        <v>717</v>
      </c>
      <c r="AQ27" s="30">
        <f t="shared" si="22"/>
        <v>717</v>
      </c>
      <c r="AR27" s="30">
        <f t="shared" si="22"/>
        <v>717</v>
      </c>
      <c r="AS27" s="28">
        <f t="shared" si="15"/>
        <v>8604</v>
      </c>
      <c r="AT27" s="80"/>
    </row>
    <row r="28" spans="1:46" s="16" customFormat="1" ht="14.25" customHeight="1">
      <c r="A28" s="12"/>
      <c r="B28" s="21"/>
      <c r="C28" s="21"/>
      <c r="D28" s="31" t="s">
        <v>18</v>
      </c>
      <c r="E28" s="9"/>
      <c r="F28" s="8">
        <v>0.0003</v>
      </c>
      <c r="G28" s="30">
        <f t="shared" si="9"/>
        <v>80</v>
      </c>
      <c r="H28" s="30">
        <f t="shared" si="16"/>
        <v>80</v>
      </c>
      <c r="I28" s="30">
        <f t="shared" si="16"/>
        <v>80</v>
      </c>
      <c r="J28" s="30">
        <f aca="true" t="shared" si="23" ref="J28:R28">I28</f>
        <v>80</v>
      </c>
      <c r="K28" s="30">
        <f t="shared" si="23"/>
        <v>80</v>
      </c>
      <c r="L28" s="30">
        <f t="shared" si="23"/>
        <v>80</v>
      </c>
      <c r="M28" s="30">
        <f t="shared" si="23"/>
        <v>80</v>
      </c>
      <c r="N28" s="30">
        <f t="shared" si="23"/>
        <v>80</v>
      </c>
      <c r="O28" s="30">
        <f t="shared" si="23"/>
        <v>80</v>
      </c>
      <c r="P28" s="30">
        <f t="shared" si="23"/>
        <v>80</v>
      </c>
      <c r="Q28" s="30">
        <f t="shared" si="23"/>
        <v>80</v>
      </c>
      <c r="R28" s="30">
        <f t="shared" si="23"/>
        <v>80</v>
      </c>
      <c r="S28" s="28">
        <f aca="true" t="shared" si="24" ref="S28:S42">SUM(G28:R28)</f>
        <v>960</v>
      </c>
      <c r="T28" s="30">
        <f t="shared" si="11"/>
        <v>80</v>
      </c>
      <c r="U28" s="30">
        <f t="shared" si="18"/>
        <v>80</v>
      </c>
      <c r="V28" s="30">
        <f t="shared" si="18"/>
        <v>80</v>
      </c>
      <c r="W28" s="30">
        <f aca="true" t="shared" si="25" ref="W28:AE28">V28</f>
        <v>80</v>
      </c>
      <c r="X28" s="30">
        <f t="shared" si="25"/>
        <v>80</v>
      </c>
      <c r="Y28" s="30">
        <f t="shared" si="25"/>
        <v>80</v>
      </c>
      <c r="Z28" s="30">
        <f t="shared" si="25"/>
        <v>80</v>
      </c>
      <c r="AA28" s="30">
        <f t="shared" si="25"/>
        <v>80</v>
      </c>
      <c r="AB28" s="30">
        <f t="shared" si="25"/>
        <v>80</v>
      </c>
      <c r="AC28" s="30">
        <f t="shared" si="25"/>
        <v>80</v>
      </c>
      <c r="AD28" s="30">
        <f t="shared" si="25"/>
        <v>80</v>
      </c>
      <c r="AE28" s="30">
        <f t="shared" si="25"/>
        <v>80</v>
      </c>
      <c r="AF28" s="28">
        <f t="shared" si="13"/>
        <v>960</v>
      </c>
      <c r="AG28" s="30">
        <f t="shared" si="20"/>
        <v>80</v>
      </c>
      <c r="AH28" s="30">
        <f t="shared" si="21"/>
        <v>80</v>
      </c>
      <c r="AI28" s="30">
        <f t="shared" si="21"/>
        <v>80</v>
      </c>
      <c r="AJ28" s="30">
        <f aca="true" t="shared" si="26" ref="AJ28:AR28">AI28</f>
        <v>80</v>
      </c>
      <c r="AK28" s="30">
        <f t="shared" si="26"/>
        <v>80</v>
      </c>
      <c r="AL28" s="30">
        <f t="shared" si="26"/>
        <v>80</v>
      </c>
      <c r="AM28" s="30">
        <f t="shared" si="26"/>
        <v>80</v>
      </c>
      <c r="AN28" s="30">
        <f t="shared" si="26"/>
        <v>80</v>
      </c>
      <c r="AO28" s="30">
        <f t="shared" si="26"/>
        <v>80</v>
      </c>
      <c r="AP28" s="30">
        <f t="shared" si="26"/>
        <v>80</v>
      </c>
      <c r="AQ28" s="30">
        <f t="shared" si="26"/>
        <v>80</v>
      </c>
      <c r="AR28" s="30">
        <f t="shared" si="26"/>
        <v>80</v>
      </c>
      <c r="AS28" s="28">
        <f t="shared" si="15"/>
        <v>960</v>
      </c>
      <c r="AT28" s="80"/>
    </row>
    <row r="29" spans="1:46" s="16" customFormat="1" ht="14.25" customHeight="1">
      <c r="A29" s="12"/>
      <c r="B29" s="21"/>
      <c r="C29" s="21"/>
      <c r="D29" s="31" t="s">
        <v>50</v>
      </c>
      <c r="E29" s="9"/>
      <c r="F29" s="8">
        <v>0.001</v>
      </c>
      <c r="G29" s="30">
        <f t="shared" si="9"/>
        <v>266</v>
      </c>
      <c r="H29" s="30">
        <f t="shared" si="16"/>
        <v>266</v>
      </c>
      <c r="I29" s="30">
        <f t="shared" si="16"/>
        <v>266</v>
      </c>
      <c r="J29" s="30">
        <f aca="true" t="shared" si="27" ref="J29:R29">I29</f>
        <v>266</v>
      </c>
      <c r="K29" s="30">
        <f t="shared" si="27"/>
        <v>266</v>
      </c>
      <c r="L29" s="30">
        <f t="shared" si="27"/>
        <v>266</v>
      </c>
      <c r="M29" s="30">
        <f t="shared" si="27"/>
        <v>266</v>
      </c>
      <c r="N29" s="30">
        <f t="shared" si="27"/>
        <v>266</v>
      </c>
      <c r="O29" s="30">
        <f t="shared" si="27"/>
        <v>266</v>
      </c>
      <c r="P29" s="30">
        <f t="shared" si="27"/>
        <v>266</v>
      </c>
      <c r="Q29" s="30">
        <f t="shared" si="27"/>
        <v>266</v>
      </c>
      <c r="R29" s="30">
        <f t="shared" si="27"/>
        <v>266</v>
      </c>
      <c r="S29" s="28">
        <f t="shared" si="24"/>
        <v>3192</v>
      </c>
      <c r="T29" s="30">
        <f t="shared" si="11"/>
        <v>266</v>
      </c>
      <c r="U29" s="30">
        <f t="shared" si="18"/>
        <v>266</v>
      </c>
      <c r="V29" s="30">
        <f t="shared" si="18"/>
        <v>266</v>
      </c>
      <c r="W29" s="30">
        <f aca="true" t="shared" si="28" ref="W29:AE29">V29</f>
        <v>266</v>
      </c>
      <c r="X29" s="30">
        <f t="shared" si="28"/>
        <v>266</v>
      </c>
      <c r="Y29" s="30">
        <f t="shared" si="28"/>
        <v>266</v>
      </c>
      <c r="Z29" s="30">
        <f t="shared" si="28"/>
        <v>266</v>
      </c>
      <c r="AA29" s="30">
        <f t="shared" si="28"/>
        <v>266</v>
      </c>
      <c r="AB29" s="30">
        <f t="shared" si="28"/>
        <v>266</v>
      </c>
      <c r="AC29" s="30">
        <f t="shared" si="28"/>
        <v>266</v>
      </c>
      <c r="AD29" s="30">
        <f t="shared" si="28"/>
        <v>266</v>
      </c>
      <c r="AE29" s="30">
        <f t="shared" si="28"/>
        <v>266</v>
      </c>
      <c r="AF29" s="28">
        <f t="shared" si="13"/>
        <v>3192</v>
      </c>
      <c r="AG29" s="30">
        <f t="shared" si="20"/>
        <v>266</v>
      </c>
      <c r="AH29" s="30">
        <f t="shared" si="21"/>
        <v>266</v>
      </c>
      <c r="AI29" s="30">
        <f t="shared" si="21"/>
        <v>266</v>
      </c>
      <c r="AJ29" s="30">
        <f aca="true" t="shared" si="29" ref="AJ29:AR29">AI29</f>
        <v>266</v>
      </c>
      <c r="AK29" s="30">
        <f t="shared" si="29"/>
        <v>266</v>
      </c>
      <c r="AL29" s="30">
        <f t="shared" si="29"/>
        <v>266</v>
      </c>
      <c r="AM29" s="30">
        <f t="shared" si="29"/>
        <v>266</v>
      </c>
      <c r="AN29" s="30">
        <f t="shared" si="29"/>
        <v>266</v>
      </c>
      <c r="AO29" s="30">
        <f t="shared" si="29"/>
        <v>266</v>
      </c>
      <c r="AP29" s="30">
        <f t="shared" si="29"/>
        <v>266</v>
      </c>
      <c r="AQ29" s="30">
        <f t="shared" si="29"/>
        <v>266</v>
      </c>
      <c r="AR29" s="30">
        <f t="shared" si="29"/>
        <v>266</v>
      </c>
      <c r="AS29" s="28">
        <f t="shared" si="15"/>
        <v>3192</v>
      </c>
      <c r="AT29" s="80"/>
    </row>
    <row r="30" spans="1:46" s="16" customFormat="1" ht="14.25" customHeight="1">
      <c r="A30" s="12"/>
      <c r="B30" s="21"/>
      <c r="C30" s="21"/>
      <c r="D30" s="31" t="s">
        <v>51</v>
      </c>
      <c r="E30" s="9"/>
      <c r="F30" s="8">
        <v>0.0027</v>
      </c>
      <c r="G30" s="30">
        <f t="shared" si="9"/>
        <v>717</v>
      </c>
      <c r="H30" s="30">
        <f t="shared" si="16"/>
        <v>717</v>
      </c>
      <c r="I30" s="30">
        <f t="shared" si="16"/>
        <v>717</v>
      </c>
      <c r="J30" s="30">
        <f aca="true" t="shared" si="30" ref="J30:R30">I30</f>
        <v>717</v>
      </c>
      <c r="K30" s="30">
        <f t="shared" si="30"/>
        <v>717</v>
      </c>
      <c r="L30" s="30">
        <f t="shared" si="30"/>
        <v>717</v>
      </c>
      <c r="M30" s="30">
        <f t="shared" si="30"/>
        <v>717</v>
      </c>
      <c r="N30" s="30">
        <f t="shared" si="30"/>
        <v>717</v>
      </c>
      <c r="O30" s="30">
        <f t="shared" si="30"/>
        <v>717</v>
      </c>
      <c r="P30" s="30">
        <f t="shared" si="30"/>
        <v>717</v>
      </c>
      <c r="Q30" s="30">
        <f t="shared" si="30"/>
        <v>717</v>
      </c>
      <c r="R30" s="30">
        <f t="shared" si="30"/>
        <v>717</v>
      </c>
      <c r="S30" s="28">
        <f t="shared" si="24"/>
        <v>8604</v>
      </c>
      <c r="T30" s="30">
        <f t="shared" si="11"/>
        <v>717</v>
      </c>
      <c r="U30" s="30">
        <f t="shared" si="18"/>
        <v>717</v>
      </c>
      <c r="V30" s="30">
        <f t="shared" si="18"/>
        <v>717</v>
      </c>
      <c r="W30" s="30">
        <f aca="true" t="shared" si="31" ref="W30:AE30">V30</f>
        <v>717</v>
      </c>
      <c r="X30" s="30">
        <f t="shared" si="31"/>
        <v>717</v>
      </c>
      <c r="Y30" s="30">
        <f t="shared" si="31"/>
        <v>717</v>
      </c>
      <c r="Z30" s="30">
        <f t="shared" si="31"/>
        <v>717</v>
      </c>
      <c r="AA30" s="30">
        <f t="shared" si="31"/>
        <v>717</v>
      </c>
      <c r="AB30" s="30">
        <f t="shared" si="31"/>
        <v>717</v>
      </c>
      <c r="AC30" s="30">
        <f t="shared" si="31"/>
        <v>717</v>
      </c>
      <c r="AD30" s="30">
        <f t="shared" si="31"/>
        <v>717</v>
      </c>
      <c r="AE30" s="30">
        <f t="shared" si="31"/>
        <v>717</v>
      </c>
      <c r="AF30" s="28">
        <f t="shared" si="13"/>
        <v>8604</v>
      </c>
      <c r="AG30" s="30">
        <f t="shared" si="20"/>
        <v>717</v>
      </c>
      <c r="AH30" s="30">
        <f t="shared" si="21"/>
        <v>717</v>
      </c>
      <c r="AI30" s="30">
        <f t="shared" si="21"/>
        <v>717</v>
      </c>
      <c r="AJ30" s="30">
        <f aca="true" t="shared" si="32" ref="AJ30:AR30">AI30</f>
        <v>717</v>
      </c>
      <c r="AK30" s="30">
        <f t="shared" si="32"/>
        <v>717</v>
      </c>
      <c r="AL30" s="30">
        <f t="shared" si="32"/>
        <v>717</v>
      </c>
      <c r="AM30" s="30">
        <f t="shared" si="32"/>
        <v>717</v>
      </c>
      <c r="AN30" s="30">
        <f t="shared" si="32"/>
        <v>717</v>
      </c>
      <c r="AO30" s="30">
        <f t="shared" si="32"/>
        <v>717</v>
      </c>
      <c r="AP30" s="30">
        <f t="shared" si="32"/>
        <v>717</v>
      </c>
      <c r="AQ30" s="30">
        <f t="shared" si="32"/>
        <v>717</v>
      </c>
      <c r="AR30" s="30">
        <f t="shared" si="32"/>
        <v>717</v>
      </c>
      <c r="AS30" s="28">
        <f t="shared" si="15"/>
        <v>8604</v>
      </c>
      <c r="AT30" s="80"/>
    </row>
    <row r="31" spans="1:46" s="16" customFormat="1" ht="14.25" customHeight="1">
      <c r="A31" s="12"/>
      <c r="B31" s="21"/>
      <c r="C31" s="21"/>
      <c r="D31" s="31" t="s">
        <v>52</v>
      </c>
      <c r="E31" s="9"/>
      <c r="F31" s="8">
        <v>0.0035</v>
      </c>
      <c r="G31" s="30">
        <f t="shared" si="9"/>
        <v>930</v>
      </c>
      <c r="H31" s="30">
        <f t="shared" si="16"/>
        <v>930</v>
      </c>
      <c r="I31" s="30">
        <f t="shared" si="16"/>
        <v>930</v>
      </c>
      <c r="J31" s="30">
        <f aca="true" t="shared" si="33" ref="J31:R31">I31</f>
        <v>930</v>
      </c>
      <c r="K31" s="30">
        <f t="shared" si="33"/>
        <v>930</v>
      </c>
      <c r="L31" s="30">
        <f t="shared" si="33"/>
        <v>930</v>
      </c>
      <c r="M31" s="30">
        <f t="shared" si="33"/>
        <v>930</v>
      </c>
      <c r="N31" s="30">
        <f t="shared" si="33"/>
        <v>930</v>
      </c>
      <c r="O31" s="30">
        <f t="shared" si="33"/>
        <v>930</v>
      </c>
      <c r="P31" s="30">
        <f t="shared" si="33"/>
        <v>930</v>
      </c>
      <c r="Q31" s="30">
        <f t="shared" si="33"/>
        <v>930</v>
      </c>
      <c r="R31" s="30">
        <f t="shared" si="33"/>
        <v>930</v>
      </c>
      <c r="S31" s="28">
        <f t="shared" si="24"/>
        <v>11160</v>
      </c>
      <c r="T31" s="30">
        <f t="shared" si="11"/>
        <v>930</v>
      </c>
      <c r="U31" s="30">
        <f t="shared" si="18"/>
        <v>930</v>
      </c>
      <c r="V31" s="30">
        <f t="shared" si="18"/>
        <v>930</v>
      </c>
      <c r="W31" s="30">
        <f aca="true" t="shared" si="34" ref="W31:AE31">V31</f>
        <v>930</v>
      </c>
      <c r="X31" s="30">
        <f t="shared" si="34"/>
        <v>930</v>
      </c>
      <c r="Y31" s="30">
        <f t="shared" si="34"/>
        <v>930</v>
      </c>
      <c r="Z31" s="30">
        <f t="shared" si="34"/>
        <v>930</v>
      </c>
      <c r="AA31" s="30">
        <f t="shared" si="34"/>
        <v>930</v>
      </c>
      <c r="AB31" s="30">
        <f t="shared" si="34"/>
        <v>930</v>
      </c>
      <c r="AC31" s="30">
        <f t="shared" si="34"/>
        <v>930</v>
      </c>
      <c r="AD31" s="30">
        <f t="shared" si="34"/>
        <v>930</v>
      </c>
      <c r="AE31" s="30">
        <f t="shared" si="34"/>
        <v>930</v>
      </c>
      <c r="AF31" s="28">
        <f t="shared" si="13"/>
        <v>11160</v>
      </c>
      <c r="AG31" s="30">
        <f t="shared" si="20"/>
        <v>930</v>
      </c>
      <c r="AH31" s="30">
        <f t="shared" si="21"/>
        <v>930</v>
      </c>
      <c r="AI31" s="30">
        <f t="shared" si="21"/>
        <v>930</v>
      </c>
      <c r="AJ31" s="30">
        <f aca="true" t="shared" si="35" ref="AJ31:AR31">AI31</f>
        <v>930</v>
      </c>
      <c r="AK31" s="30">
        <f t="shared" si="35"/>
        <v>930</v>
      </c>
      <c r="AL31" s="30">
        <f t="shared" si="35"/>
        <v>930</v>
      </c>
      <c r="AM31" s="30">
        <f t="shared" si="35"/>
        <v>930</v>
      </c>
      <c r="AN31" s="30">
        <f t="shared" si="35"/>
        <v>930</v>
      </c>
      <c r="AO31" s="30">
        <f t="shared" si="35"/>
        <v>930</v>
      </c>
      <c r="AP31" s="30">
        <f t="shared" si="35"/>
        <v>930</v>
      </c>
      <c r="AQ31" s="30">
        <f t="shared" si="35"/>
        <v>930</v>
      </c>
      <c r="AR31" s="30">
        <f t="shared" si="35"/>
        <v>930</v>
      </c>
      <c r="AS31" s="28">
        <f t="shared" si="15"/>
        <v>11160</v>
      </c>
      <c r="AT31" s="80"/>
    </row>
    <row r="32" spans="1:46" s="16" customFormat="1" ht="14.25" customHeight="1">
      <c r="A32" s="12"/>
      <c r="B32" s="21"/>
      <c r="C32" s="21"/>
      <c r="D32" s="31" t="s">
        <v>53</v>
      </c>
      <c r="E32" s="9"/>
      <c r="F32" s="8">
        <v>0.0065</v>
      </c>
      <c r="G32" s="30">
        <f t="shared" si="9"/>
        <v>1727</v>
      </c>
      <c r="H32" s="30">
        <f t="shared" si="16"/>
        <v>1727</v>
      </c>
      <c r="I32" s="30">
        <f t="shared" si="16"/>
        <v>1727</v>
      </c>
      <c r="J32" s="30">
        <f aca="true" t="shared" si="36" ref="J32:R32">I32</f>
        <v>1727</v>
      </c>
      <c r="K32" s="30">
        <f t="shared" si="36"/>
        <v>1727</v>
      </c>
      <c r="L32" s="30">
        <f t="shared" si="36"/>
        <v>1727</v>
      </c>
      <c r="M32" s="30">
        <f t="shared" si="36"/>
        <v>1727</v>
      </c>
      <c r="N32" s="30">
        <f t="shared" si="36"/>
        <v>1727</v>
      </c>
      <c r="O32" s="30">
        <f t="shared" si="36"/>
        <v>1727</v>
      </c>
      <c r="P32" s="30">
        <f t="shared" si="36"/>
        <v>1727</v>
      </c>
      <c r="Q32" s="30">
        <f t="shared" si="36"/>
        <v>1727</v>
      </c>
      <c r="R32" s="30">
        <f t="shared" si="36"/>
        <v>1727</v>
      </c>
      <c r="S32" s="28">
        <f t="shared" si="24"/>
        <v>20724</v>
      </c>
      <c r="T32" s="30">
        <f t="shared" si="11"/>
        <v>1727</v>
      </c>
      <c r="U32" s="30">
        <f t="shared" si="18"/>
        <v>1727</v>
      </c>
      <c r="V32" s="30">
        <f t="shared" si="18"/>
        <v>1727</v>
      </c>
      <c r="W32" s="30">
        <f aca="true" t="shared" si="37" ref="W32:AE32">V32</f>
        <v>1727</v>
      </c>
      <c r="X32" s="30">
        <f t="shared" si="37"/>
        <v>1727</v>
      </c>
      <c r="Y32" s="30">
        <f t="shared" si="37"/>
        <v>1727</v>
      </c>
      <c r="Z32" s="30">
        <f t="shared" si="37"/>
        <v>1727</v>
      </c>
      <c r="AA32" s="30">
        <f t="shared" si="37"/>
        <v>1727</v>
      </c>
      <c r="AB32" s="30">
        <f t="shared" si="37"/>
        <v>1727</v>
      </c>
      <c r="AC32" s="30">
        <f t="shared" si="37"/>
        <v>1727</v>
      </c>
      <c r="AD32" s="30">
        <f t="shared" si="37"/>
        <v>1727</v>
      </c>
      <c r="AE32" s="30">
        <f t="shared" si="37"/>
        <v>1727</v>
      </c>
      <c r="AF32" s="28">
        <f t="shared" si="13"/>
        <v>20724</v>
      </c>
      <c r="AG32" s="30">
        <f t="shared" si="20"/>
        <v>1727</v>
      </c>
      <c r="AH32" s="30">
        <f t="shared" si="21"/>
        <v>1727</v>
      </c>
      <c r="AI32" s="30">
        <f t="shared" si="21"/>
        <v>1727</v>
      </c>
      <c r="AJ32" s="30">
        <f aca="true" t="shared" si="38" ref="AJ32:AR32">AI32</f>
        <v>1727</v>
      </c>
      <c r="AK32" s="30">
        <f t="shared" si="38"/>
        <v>1727</v>
      </c>
      <c r="AL32" s="30">
        <f t="shared" si="38"/>
        <v>1727</v>
      </c>
      <c r="AM32" s="30">
        <f t="shared" si="38"/>
        <v>1727</v>
      </c>
      <c r="AN32" s="30">
        <f t="shared" si="38"/>
        <v>1727</v>
      </c>
      <c r="AO32" s="30">
        <f t="shared" si="38"/>
        <v>1727</v>
      </c>
      <c r="AP32" s="30">
        <f t="shared" si="38"/>
        <v>1727</v>
      </c>
      <c r="AQ32" s="30">
        <f t="shared" si="38"/>
        <v>1727</v>
      </c>
      <c r="AR32" s="30">
        <f t="shared" si="38"/>
        <v>1727</v>
      </c>
      <c r="AS32" s="28">
        <f t="shared" si="15"/>
        <v>20724</v>
      </c>
      <c r="AT32" s="80"/>
    </row>
    <row r="33" spans="1:46" s="16" customFormat="1" ht="14.25" customHeight="1">
      <c r="A33" s="12"/>
      <c r="B33" s="21"/>
      <c r="C33" s="21"/>
      <c r="D33" s="31" t="s">
        <v>54</v>
      </c>
      <c r="E33" s="9"/>
      <c r="F33" s="8">
        <v>0.005</v>
      </c>
      <c r="G33" s="30">
        <f t="shared" si="9"/>
        <v>1328</v>
      </c>
      <c r="H33" s="30">
        <f t="shared" si="16"/>
        <v>1328</v>
      </c>
      <c r="I33" s="30">
        <f t="shared" si="16"/>
        <v>1328</v>
      </c>
      <c r="J33" s="30">
        <f aca="true" t="shared" si="39" ref="J33:R33">I33</f>
        <v>1328</v>
      </c>
      <c r="K33" s="30">
        <f t="shared" si="39"/>
        <v>1328</v>
      </c>
      <c r="L33" s="30">
        <f t="shared" si="39"/>
        <v>1328</v>
      </c>
      <c r="M33" s="30">
        <f t="shared" si="39"/>
        <v>1328</v>
      </c>
      <c r="N33" s="30">
        <f t="shared" si="39"/>
        <v>1328</v>
      </c>
      <c r="O33" s="30">
        <f t="shared" si="39"/>
        <v>1328</v>
      </c>
      <c r="P33" s="30">
        <f t="shared" si="39"/>
        <v>1328</v>
      </c>
      <c r="Q33" s="30">
        <f t="shared" si="39"/>
        <v>1328</v>
      </c>
      <c r="R33" s="30">
        <f t="shared" si="39"/>
        <v>1328</v>
      </c>
      <c r="S33" s="28">
        <f t="shared" si="24"/>
        <v>15936</v>
      </c>
      <c r="T33" s="30">
        <f t="shared" si="11"/>
        <v>1328</v>
      </c>
      <c r="U33" s="30">
        <f t="shared" si="18"/>
        <v>1328</v>
      </c>
      <c r="V33" s="30">
        <f t="shared" si="18"/>
        <v>1328</v>
      </c>
      <c r="W33" s="30">
        <f aca="true" t="shared" si="40" ref="W33:AE33">V33</f>
        <v>1328</v>
      </c>
      <c r="X33" s="30">
        <f t="shared" si="40"/>
        <v>1328</v>
      </c>
      <c r="Y33" s="30">
        <f t="shared" si="40"/>
        <v>1328</v>
      </c>
      <c r="Z33" s="30">
        <f t="shared" si="40"/>
        <v>1328</v>
      </c>
      <c r="AA33" s="30">
        <f t="shared" si="40"/>
        <v>1328</v>
      </c>
      <c r="AB33" s="30">
        <f t="shared" si="40"/>
        <v>1328</v>
      </c>
      <c r="AC33" s="30">
        <f t="shared" si="40"/>
        <v>1328</v>
      </c>
      <c r="AD33" s="30">
        <f t="shared" si="40"/>
        <v>1328</v>
      </c>
      <c r="AE33" s="30">
        <f t="shared" si="40"/>
        <v>1328</v>
      </c>
      <c r="AF33" s="28">
        <f t="shared" si="13"/>
        <v>15936</v>
      </c>
      <c r="AG33" s="30">
        <f t="shared" si="20"/>
        <v>1328</v>
      </c>
      <c r="AH33" s="30">
        <f t="shared" si="21"/>
        <v>1328</v>
      </c>
      <c r="AI33" s="30">
        <f t="shared" si="21"/>
        <v>1328</v>
      </c>
      <c r="AJ33" s="30">
        <f aca="true" t="shared" si="41" ref="AJ33:AR33">AI33</f>
        <v>1328</v>
      </c>
      <c r="AK33" s="30">
        <f t="shared" si="41"/>
        <v>1328</v>
      </c>
      <c r="AL33" s="30">
        <f t="shared" si="41"/>
        <v>1328</v>
      </c>
      <c r="AM33" s="30">
        <f t="shared" si="41"/>
        <v>1328</v>
      </c>
      <c r="AN33" s="30">
        <f t="shared" si="41"/>
        <v>1328</v>
      </c>
      <c r="AO33" s="30">
        <f t="shared" si="41"/>
        <v>1328</v>
      </c>
      <c r="AP33" s="30">
        <f t="shared" si="41"/>
        <v>1328</v>
      </c>
      <c r="AQ33" s="30">
        <f t="shared" si="41"/>
        <v>1328</v>
      </c>
      <c r="AR33" s="30">
        <f t="shared" si="41"/>
        <v>1328</v>
      </c>
      <c r="AS33" s="28">
        <f t="shared" si="15"/>
        <v>15936</v>
      </c>
      <c r="AT33" s="80"/>
    </row>
    <row r="34" spans="1:46" s="16" customFormat="1" ht="14.25" customHeight="1">
      <c r="A34" s="12"/>
      <c r="B34" s="21"/>
      <c r="C34" s="21"/>
      <c r="D34" s="31" t="s">
        <v>19</v>
      </c>
      <c r="E34" s="9"/>
      <c r="F34" s="8">
        <v>0.0233</v>
      </c>
      <c r="G34" s="30">
        <f t="shared" si="9"/>
        <v>6189</v>
      </c>
      <c r="H34" s="30">
        <f t="shared" si="16"/>
        <v>6189</v>
      </c>
      <c r="I34" s="30">
        <f t="shared" si="16"/>
        <v>6189</v>
      </c>
      <c r="J34" s="30">
        <f aca="true" t="shared" si="42" ref="J34:R34">I34</f>
        <v>6189</v>
      </c>
      <c r="K34" s="30">
        <f t="shared" si="42"/>
        <v>6189</v>
      </c>
      <c r="L34" s="30">
        <f t="shared" si="42"/>
        <v>6189</v>
      </c>
      <c r="M34" s="30">
        <f t="shared" si="42"/>
        <v>6189</v>
      </c>
      <c r="N34" s="30">
        <f t="shared" si="42"/>
        <v>6189</v>
      </c>
      <c r="O34" s="30">
        <f t="shared" si="42"/>
        <v>6189</v>
      </c>
      <c r="P34" s="30">
        <f t="shared" si="42"/>
        <v>6189</v>
      </c>
      <c r="Q34" s="30">
        <f t="shared" si="42"/>
        <v>6189</v>
      </c>
      <c r="R34" s="30">
        <f t="shared" si="42"/>
        <v>6189</v>
      </c>
      <c r="S34" s="28">
        <f t="shared" si="24"/>
        <v>74268</v>
      </c>
      <c r="T34" s="30">
        <f t="shared" si="11"/>
        <v>6189</v>
      </c>
      <c r="U34" s="30">
        <f t="shared" si="18"/>
        <v>6189</v>
      </c>
      <c r="V34" s="30">
        <f t="shared" si="18"/>
        <v>6189</v>
      </c>
      <c r="W34" s="30">
        <f aca="true" t="shared" si="43" ref="W34:AE34">V34</f>
        <v>6189</v>
      </c>
      <c r="X34" s="30">
        <f t="shared" si="43"/>
        <v>6189</v>
      </c>
      <c r="Y34" s="30">
        <f t="shared" si="43"/>
        <v>6189</v>
      </c>
      <c r="Z34" s="30">
        <f t="shared" si="43"/>
        <v>6189</v>
      </c>
      <c r="AA34" s="30">
        <f t="shared" si="43"/>
        <v>6189</v>
      </c>
      <c r="AB34" s="30">
        <f t="shared" si="43"/>
        <v>6189</v>
      </c>
      <c r="AC34" s="30">
        <f t="shared" si="43"/>
        <v>6189</v>
      </c>
      <c r="AD34" s="30">
        <f t="shared" si="43"/>
        <v>6189</v>
      </c>
      <c r="AE34" s="30">
        <f t="shared" si="43"/>
        <v>6189</v>
      </c>
      <c r="AF34" s="28">
        <f t="shared" si="13"/>
        <v>74268</v>
      </c>
      <c r="AG34" s="30">
        <f t="shared" si="20"/>
        <v>6189</v>
      </c>
      <c r="AH34" s="30">
        <f t="shared" si="21"/>
        <v>6189</v>
      </c>
      <c r="AI34" s="30">
        <f t="shared" si="21"/>
        <v>6189</v>
      </c>
      <c r="AJ34" s="30">
        <f aca="true" t="shared" si="44" ref="AJ34:AR34">AI34</f>
        <v>6189</v>
      </c>
      <c r="AK34" s="30">
        <f t="shared" si="44"/>
        <v>6189</v>
      </c>
      <c r="AL34" s="30">
        <f t="shared" si="44"/>
        <v>6189</v>
      </c>
      <c r="AM34" s="30">
        <f t="shared" si="44"/>
        <v>6189</v>
      </c>
      <c r="AN34" s="30">
        <f t="shared" si="44"/>
        <v>6189</v>
      </c>
      <c r="AO34" s="30">
        <f t="shared" si="44"/>
        <v>6189</v>
      </c>
      <c r="AP34" s="30">
        <f t="shared" si="44"/>
        <v>6189</v>
      </c>
      <c r="AQ34" s="30">
        <f t="shared" si="44"/>
        <v>6189</v>
      </c>
      <c r="AR34" s="30">
        <f t="shared" si="44"/>
        <v>6189</v>
      </c>
      <c r="AS34" s="28">
        <f t="shared" si="15"/>
        <v>74268</v>
      </c>
      <c r="AT34" s="80"/>
    </row>
    <row r="35" spans="1:46" s="16" customFormat="1" ht="14.25" customHeight="1">
      <c r="A35" s="12"/>
      <c r="B35" s="21"/>
      <c r="C35" s="21"/>
      <c r="D35" s="31" t="s">
        <v>55</v>
      </c>
      <c r="E35" s="9"/>
      <c r="F35" s="8">
        <v>0.0041</v>
      </c>
      <c r="G35" s="30">
        <f t="shared" si="9"/>
        <v>1089</v>
      </c>
      <c r="H35" s="30">
        <f t="shared" si="16"/>
        <v>1089</v>
      </c>
      <c r="I35" s="30">
        <f t="shared" si="16"/>
        <v>1089</v>
      </c>
      <c r="J35" s="30">
        <f aca="true" t="shared" si="45" ref="J35:R35">I35</f>
        <v>1089</v>
      </c>
      <c r="K35" s="30">
        <f t="shared" si="45"/>
        <v>1089</v>
      </c>
      <c r="L35" s="30">
        <f t="shared" si="45"/>
        <v>1089</v>
      </c>
      <c r="M35" s="30">
        <f t="shared" si="45"/>
        <v>1089</v>
      </c>
      <c r="N35" s="30">
        <f t="shared" si="45"/>
        <v>1089</v>
      </c>
      <c r="O35" s="30">
        <f t="shared" si="45"/>
        <v>1089</v>
      </c>
      <c r="P35" s="30">
        <f t="shared" si="45"/>
        <v>1089</v>
      </c>
      <c r="Q35" s="30">
        <f t="shared" si="45"/>
        <v>1089</v>
      </c>
      <c r="R35" s="30">
        <f t="shared" si="45"/>
        <v>1089</v>
      </c>
      <c r="S35" s="28">
        <f t="shared" si="24"/>
        <v>13068</v>
      </c>
      <c r="T35" s="30">
        <f t="shared" si="11"/>
        <v>1089</v>
      </c>
      <c r="U35" s="30">
        <f t="shared" si="18"/>
        <v>1089</v>
      </c>
      <c r="V35" s="30">
        <f t="shared" si="18"/>
        <v>1089</v>
      </c>
      <c r="W35" s="30">
        <f aca="true" t="shared" si="46" ref="W35:AE35">V35</f>
        <v>1089</v>
      </c>
      <c r="X35" s="30">
        <f t="shared" si="46"/>
        <v>1089</v>
      </c>
      <c r="Y35" s="30">
        <f t="shared" si="46"/>
        <v>1089</v>
      </c>
      <c r="Z35" s="30">
        <f t="shared" si="46"/>
        <v>1089</v>
      </c>
      <c r="AA35" s="30">
        <f t="shared" si="46"/>
        <v>1089</v>
      </c>
      <c r="AB35" s="30">
        <f t="shared" si="46"/>
        <v>1089</v>
      </c>
      <c r="AC35" s="30">
        <f t="shared" si="46"/>
        <v>1089</v>
      </c>
      <c r="AD35" s="30">
        <f t="shared" si="46"/>
        <v>1089</v>
      </c>
      <c r="AE35" s="30">
        <f t="shared" si="46"/>
        <v>1089</v>
      </c>
      <c r="AF35" s="28">
        <f t="shared" si="13"/>
        <v>13068</v>
      </c>
      <c r="AG35" s="30">
        <f t="shared" si="20"/>
        <v>1089</v>
      </c>
      <c r="AH35" s="30">
        <f t="shared" si="21"/>
        <v>1089</v>
      </c>
      <c r="AI35" s="30">
        <f t="shared" si="21"/>
        <v>1089</v>
      </c>
      <c r="AJ35" s="30">
        <f aca="true" t="shared" si="47" ref="AJ35:AR35">AI35</f>
        <v>1089</v>
      </c>
      <c r="AK35" s="30">
        <f t="shared" si="47"/>
        <v>1089</v>
      </c>
      <c r="AL35" s="30">
        <f t="shared" si="47"/>
        <v>1089</v>
      </c>
      <c r="AM35" s="30">
        <f t="shared" si="47"/>
        <v>1089</v>
      </c>
      <c r="AN35" s="30">
        <f t="shared" si="47"/>
        <v>1089</v>
      </c>
      <c r="AO35" s="30">
        <f t="shared" si="47"/>
        <v>1089</v>
      </c>
      <c r="AP35" s="30">
        <f t="shared" si="47"/>
        <v>1089</v>
      </c>
      <c r="AQ35" s="30">
        <f t="shared" si="47"/>
        <v>1089</v>
      </c>
      <c r="AR35" s="30">
        <f t="shared" si="47"/>
        <v>1089</v>
      </c>
      <c r="AS35" s="28">
        <f t="shared" si="15"/>
        <v>13068</v>
      </c>
      <c r="AT35" s="80"/>
    </row>
    <row r="36" spans="1:46" s="16" customFormat="1" ht="14.25" customHeight="1">
      <c r="A36" s="12"/>
      <c r="B36" s="21"/>
      <c r="C36" s="21"/>
      <c r="D36" s="31" t="s">
        <v>56</v>
      </c>
      <c r="E36" s="79"/>
      <c r="F36" s="8">
        <v>0.1026</v>
      </c>
      <c r="G36" s="30">
        <f t="shared" si="9"/>
        <v>27253</v>
      </c>
      <c r="H36" s="30">
        <f t="shared" si="16"/>
        <v>27253</v>
      </c>
      <c r="I36" s="30">
        <f t="shared" si="16"/>
        <v>27253</v>
      </c>
      <c r="J36" s="30">
        <f aca="true" t="shared" si="48" ref="J36:R36">I36</f>
        <v>27253</v>
      </c>
      <c r="K36" s="30">
        <f t="shared" si="48"/>
        <v>27253</v>
      </c>
      <c r="L36" s="30">
        <f t="shared" si="48"/>
        <v>27253</v>
      </c>
      <c r="M36" s="30">
        <f t="shared" si="48"/>
        <v>27253</v>
      </c>
      <c r="N36" s="30">
        <f t="shared" si="48"/>
        <v>27253</v>
      </c>
      <c r="O36" s="30">
        <f t="shared" si="48"/>
        <v>27253</v>
      </c>
      <c r="P36" s="30">
        <f t="shared" si="48"/>
        <v>27253</v>
      </c>
      <c r="Q36" s="30">
        <f t="shared" si="48"/>
        <v>27253</v>
      </c>
      <c r="R36" s="30">
        <f t="shared" si="48"/>
        <v>27253</v>
      </c>
      <c r="S36" s="28">
        <f t="shared" si="24"/>
        <v>327036</v>
      </c>
      <c r="T36" s="30">
        <f t="shared" si="11"/>
        <v>27253</v>
      </c>
      <c r="U36" s="30">
        <f t="shared" si="18"/>
        <v>27253</v>
      </c>
      <c r="V36" s="30">
        <f t="shared" si="18"/>
        <v>27253</v>
      </c>
      <c r="W36" s="30">
        <f aca="true" t="shared" si="49" ref="W36:AE36">V36</f>
        <v>27253</v>
      </c>
      <c r="X36" s="30">
        <f t="shared" si="49"/>
        <v>27253</v>
      </c>
      <c r="Y36" s="30">
        <f t="shared" si="49"/>
        <v>27253</v>
      </c>
      <c r="Z36" s="30">
        <f t="shared" si="49"/>
        <v>27253</v>
      </c>
      <c r="AA36" s="30">
        <f t="shared" si="49"/>
        <v>27253</v>
      </c>
      <c r="AB36" s="30">
        <f t="shared" si="49"/>
        <v>27253</v>
      </c>
      <c r="AC36" s="30">
        <f t="shared" si="49"/>
        <v>27253</v>
      </c>
      <c r="AD36" s="30">
        <f t="shared" si="49"/>
        <v>27253</v>
      </c>
      <c r="AE36" s="30">
        <f t="shared" si="49"/>
        <v>27253</v>
      </c>
      <c r="AF36" s="28">
        <f t="shared" si="13"/>
        <v>327036</v>
      </c>
      <c r="AG36" s="30">
        <f t="shared" si="20"/>
        <v>27253</v>
      </c>
      <c r="AH36" s="30">
        <f t="shared" si="21"/>
        <v>27253</v>
      </c>
      <c r="AI36" s="30">
        <f t="shared" si="21"/>
        <v>27253</v>
      </c>
      <c r="AJ36" s="30">
        <f aca="true" t="shared" si="50" ref="AJ36:AR36">AI36</f>
        <v>27253</v>
      </c>
      <c r="AK36" s="30">
        <f t="shared" si="50"/>
        <v>27253</v>
      </c>
      <c r="AL36" s="30">
        <f t="shared" si="50"/>
        <v>27253</v>
      </c>
      <c r="AM36" s="30">
        <f t="shared" si="50"/>
        <v>27253</v>
      </c>
      <c r="AN36" s="30">
        <f t="shared" si="50"/>
        <v>27253</v>
      </c>
      <c r="AO36" s="30">
        <f t="shared" si="50"/>
        <v>27253</v>
      </c>
      <c r="AP36" s="30">
        <f t="shared" si="50"/>
        <v>27253</v>
      </c>
      <c r="AQ36" s="30">
        <f t="shared" si="50"/>
        <v>27253</v>
      </c>
      <c r="AR36" s="30">
        <f t="shared" si="50"/>
        <v>27253</v>
      </c>
      <c r="AS36" s="28">
        <f t="shared" si="15"/>
        <v>327036</v>
      </c>
      <c r="AT36" s="80"/>
    </row>
    <row r="37" spans="1:46" s="16" customFormat="1" ht="14.25" customHeight="1">
      <c r="A37" s="12"/>
      <c r="B37" s="21"/>
      <c r="C37" s="21"/>
      <c r="D37" s="31" t="s">
        <v>57</v>
      </c>
      <c r="E37" s="9"/>
      <c r="F37" s="8">
        <v>0.0011</v>
      </c>
      <c r="G37" s="30">
        <f t="shared" si="9"/>
        <v>292</v>
      </c>
      <c r="H37" s="30">
        <f t="shared" si="16"/>
        <v>292</v>
      </c>
      <c r="I37" s="30">
        <f t="shared" si="16"/>
        <v>292</v>
      </c>
      <c r="J37" s="30">
        <f aca="true" t="shared" si="51" ref="J37:R37">I37</f>
        <v>292</v>
      </c>
      <c r="K37" s="30">
        <f t="shared" si="51"/>
        <v>292</v>
      </c>
      <c r="L37" s="30">
        <f t="shared" si="51"/>
        <v>292</v>
      </c>
      <c r="M37" s="30">
        <f t="shared" si="51"/>
        <v>292</v>
      </c>
      <c r="N37" s="30">
        <f t="shared" si="51"/>
        <v>292</v>
      </c>
      <c r="O37" s="30">
        <f t="shared" si="51"/>
        <v>292</v>
      </c>
      <c r="P37" s="30">
        <f t="shared" si="51"/>
        <v>292</v>
      </c>
      <c r="Q37" s="30">
        <f t="shared" si="51"/>
        <v>292</v>
      </c>
      <c r="R37" s="30">
        <f t="shared" si="51"/>
        <v>292</v>
      </c>
      <c r="S37" s="28">
        <f t="shared" si="24"/>
        <v>3504</v>
      </c>
      <c r="T37" s="30">
        <f t="shared" si="11"/>
        <v>292</v>
      </c>
      <c r="U37" s="30">
        <f t="shared" si="18"/>
        <v>292</v>
      </c>
      <c r="V37" s="30">
        <f t="shared" si="18"/>
        <v>292</v>
      </c>
      <c r="W37" s="30">
        <f aca="true" t="shared" si="52" ref="W37:AE37">V37</f>
        <v>292</v>
      </c>
      <c r="X37" s="30">
        <f t="shared" si="52"/>
        <v>292</v>
      </c>
      <c r="Y37" s="30">
        <f t="shared" si="52"/>
        <v>292</v>
      </c>
      <c r="Z37" s="30">
        <f t="shared" si="52"/>
        <v>292</v>
      </c>
      <c r="AA37" s="30">
        <f t="shared" si="52"/>
        <v>292</v>
      </c>
      <c r="AB37" s="30">
        <f t="shared" si="52"/>
        <v>292</v>
      </c>
      <c r="AC37" s="30">
        <f t="shared" si="52"/>
        <v>292</v>
      </c>
      <c r="AD37" s="30">
        <f t="shared" si="52"/>
        <v>292</v>
      </c>
      <c r="AE37" s="30">
        <f t="shared" si="52"/>
        <v>292</v>
      </c>
      <c r="AF37" s="28">
        <f t="shared" si="13"/>
        <v>3504</v>
      </c>
      <c r="AG37" s="30">
        <f t="shared" si="20"/>
        <v>292</v>
      </c>
      <c r="AH37" s="30">
        <f t="shared" si="21"/>
        <v>292</v>
      </c>
      <c r="AI37" s="30">
        <f t="shared" si="21"/>
        <v>292</v>
      </c>
      <c r="AJ37" s="30">
        <f aca="true" t="shared" si="53" ref="AJ37:AR37">AI37</f>
        <v>292</v>
      </c>
      <c r="AK37" s="30">
        <f t="shared" si="53"/>
        <v>292</v>
      </c>
      <c r="AL37" s="30">
        <f t="shared" si="53"/>
        <v>292</v>
      </c>
      <c r="AM37" s="30">
        <f t="shared" si="53"/>
        <v>292</v>
      </c>
      <c r="AN37" s="30">
        <f t="shared" si="53"/>
        <v>292</v>
      </c>
      <c r="AO37" s="30">
        <f t="shared" si="53"/>
        <v>292</v>
      </c>
      <c r="AP37" s="30">
        <f t="shared" si="53"/>
        <v>292</v>
      </c>
      <c r="AQ37" s="30">
        <f t="shared" si="53"/>
        <v>292</v>
      </c>
      <c r="AR37" s="30">
        <f t="shared" si="53"/>
        <v>292</v>
      </c>
      <c r="AS37" s="28">
        <f t="shared" si="15"/>
        <v>3504</v>
      </c>
      <c r="AT37" s="80"/>
    </row>
    <row r="38" spans="1:46" s="16" customFormat="1" ht="14.25" customHeight="1">
      <c r="A38" s="12"/>
      <c r="B38" s="21"/>
      <c r="C38" s="21"/>
      <c r="D38" s="31" t="s">
        <v>58</v>
      </c>
      <c r="E38" s="9"/>
      <c r="F38" s="8">
        <v>0.0049</v>
      </c>
      <c r="G38" s="30">
        <f aca="true" t="shared" si="54" ref="G38:R38">ROUND(G36*0.0765,0)</f>
        <v>2085</v>
      </c>
      <c r="H38" s="30">
        <f t="shared" si="54"/>
        <v>2085</v>
      </c>
      <c r="I38" s="30">
        <f t="shared" si="54"/>
        <v>2085</v>
      </c>
      <c r="J38" s="30">
        <f t="shared" si="54"/>
        <v>2085</v>
      </c>
      <c r="K38" s="30">
        <f t="shared" si="54"/>
        <v>2085</v>
      </c>
      <c r="L38" s="30">
        <f t="shared" si="54"/>
        <v>2085</v>
      </c>
      <c r="M38" s="30">
        <f t="shared" si="54"/>
        <v>2085</v>
      </c>
      <c r="N38" s="30">
        <f t="shared" si="54"/>
        <v>2085</v>
      </c>
      <c r="O38" s="30">
        <f t="shared" si="54"/>
        <v>2085</v>
      </c>
      <c r="P38" s="30">
        <f t="shared" si="54"/>
        <v>2085</v>
      </c>
      <c r="Q38" s="30">
        <f t="shared" si="54"/>
        <v>2085</v>
      </c>
      <c r="R38" s="30">
        <f t="shared" si="54"/>
        <v>2085</v>
      </c>
      <c r="S38" s="28">
        <f t="shared" si="24"/>
        <v>25020</v>
      </c>
      <c r="T38" s="30">
        <f aca="true" t="shared" si="55" ref="T38:AE38">ROUND(T36*0.0765,0)</f>
        <v>2085</v>
      </c>
      <c r="U38" s="30">
        <f t="shared" si="55"/>
        <v>2085</v>
      </c>
      <c r="V38" s="30">
        <f t="shared" si="55"/>
        <v>2085</v>
      </c>
      <c r="W38" s="30">
        <f t="shared" si="55"/>
        <v>2085</v>
      </c>
      <c r="X38" s="30">
        <f t="shared" si="55"/>
        <v>2085</v>
      </c>
      <c r="Y38" s="30">
        <f t="shared" si="55"/>
        <v>2085</v>
      </c>
      <c r="Z38" s="30">
        <f t="shared" si="55"/>
        <v>2085</v>
      </c>
      <c r="AA38" s="30">
        <f t="shared" si="55"/>
        <v>2085</v>
      </c>
      <c r="AB38" s="30">
        <f t="shared" si="55"/>
        <v>2085</v>
      </c>
      <c r="AC38" s="30">
        <f t="shared" si="55"/>
        <v>2085</v>
      </c>
      <c r="AD38" s="30">
        <f t="shared" si="55"/>
        <v>2085</v>
      </c>
      <c r="AE38" s="30">
        <f t="shared" si="55"/>
        <v>2085</v>
      </c>
      <c r="AF38" s="28">
        <f t="shared" si="13"/>
        <v>25020</v>
      </c>
      <c r="AG38" s="30">
        <f aca="true" t="shared" si="56" ref="AG38:AR38">ROUND(AG36*0.0765,0)</f>
        <v>2085</v>
      </c>
      <c r="AH38" s="30">
        <f t="shared" si="56"/>
        <v>2085</v>
      </c>
      <c r="AI38" s="30">
        <f t="shared" si="56"/>
        <v>2085</v>
      </c>
      <c r="AJ38" s="30">
        <f t="shared" si="56"/>
        <v>2085</v>
      </c>
      <c r="AK38" s="30">
        <f t="shared" si="56"/>
        <v>2085</v>
      </c>
      <c r="AL38" s="30">
        <f t="shared" si="56"/>
        <v>2085</v>
      </c>
      <c r="AM38" s="30">
        <f t="shared" si="56"/>
        <v>2085</v>
      </c>
      <c r="AN38" s="30">
        <f t="shared" si="56"/>
        <v>2085</v>
      </c>
      <c r="AO38" s="30">
        <f t="shared" si="56"/>
        <v>2085</v>
      </c>
      <c r="AP38" s="30">
        <f t="shared" si="56"/>
        <v>2085</v>
      </c>
      <c r="AQ38" s="30">
        <f t="shared" si="56"/>
        <v>2085</v>
      </c>
      <c r="AR38" s="30">
        <f t="shared" si="56"/>
        <v>2085</v>
      </c>
      <c r="AS38" s="28">
        <f t="shared" si="15"/>
        <v>25020</v>
      </c>
      <c r="AT38" s="80"/>
    </row>
    <row r="39" spans="1:46" s="16" customFormat="1" ht="14.25" customHeight="1">
      <c r="A39" s="12"/>
      <c r="B39" s="21"/>
      <c r="C39" s="21"/>
      <c r="D39" s="31" t="s">
        <v>203</v>
      </c>
      <c r="E39" s="9"/>
      <c r="F39" s="8">
        <v>0.003</v>
      </c>
      <c r="G39" s="30">
        <f>ROUND(F39*$G$10,0)</f>
        <v>797</v>
      </c>
      <c r="H39" s="30">
        <f aca="true" t="shared" si="57" ref="H39:R39">G39</f>
        <v>797</v>
      </c>
      <c r="I39" s="30">
        <f t="shared" si="57"/>
        <v>797</v>
      </c>
      <c r="J39" s="30">
        <f t="shared" si="57"/>
        <v>797</v>
      </c>
      <c r="K39" s="30">
        <f t="shared" si="57"/>
        <v>797</v>
      </c>
      <c r="L39" s="30">
        <f t="shared" si="57"/>
        <v>797</v>
      </c>
      <c r="M39" s="30">
        <f t="shared" si="57"/>
        <v>797</v>
      </c>
      <c r="N39" s="30">
        <f t="shared" si="57"/>
        <v>797</v>
      </c>
      <c r="O39" s="30">
        <f t="shared" si="57"/>
        <v>797</v>
      </c>
      <c r="P39" s="30">
        <f t="shared" si="57"/>
        <v>797</v>
      </c>
      <c r="Q39" s="30">
        <f t="shared" si="57"/>
        <v>797</v>
      </c>
      <c r="R39" s="30">
        <f t="shared" si="57"/>
        <v>797</v>
      </c>
      <c r="S39" s="28">
        <f t="shared" si="24"/>
        <v>9564</v>
      </c>
      <c r="T39" s="30">
        <f>R39</f>
        <v>797</v>
      </c>
      <c r="U39" s="30">
        <f aca="true" t="shared" si="58" ref="U39:AE39">T39</f>
        <v>797</v>
      </c>
      <c r="V39" s="30">
        <f t="shared" si="58"/>
        <v>797</v>
      </c>
      <c r="W39" s="30">
        <f t="shared" si="58"/>
        <v>797</v>
      </c>
      <c r="X39" s="30">
        <f t="shared" si="58"/>
        <v>797</v>
      </c>
      <c r="Y39" s="30">
        <f t="shared" si="58"/>
        <v>797</v>
      </c>
      <c r="Z39" s="30">
        <f t="shared" si="58"/>
        <v>797</v>
      </c>
      <c r="AA39" s="30">
        <f t="shared" si="58"/>
        <v>797</v>
      </c>
      <c r="AB39" s="30">
        <f t="shared" si="58"/>
        <v>797</v>
      </c>
      <c r="AC39" s="30">
        <f t="shared" si="58"/>
        <v>797</v>
      </c>
      <c r="AD39" s="30">
        <f t="shared" si="58"/>
        <v>797</v>
      </c>
      <c r="AE39" s="30">
        <f t="shared" si="58"/>
        <v>797</v>
      </c>
      <c r="AF39" s="28">
        <f t="shared" si="13"/>
        <v>9564</v>
      </c>
      <c r="AG39" s="30">
        <f>AE39</f>
        <v>797</v>
      </c>
      <c r="AH39" s="30">
        <f t="shared" si="21"/>
        <v>797</v>
      </c>
      <c r="AI39" s="30">
        <f aca="true" t="shared" si="59" ref="AI39:AR39">AH39</f>
        <v>797</v>
      </c>
      <c r="AJ39" s="30">
        <f t="shared" si="59"/>
        <v>797</v>
      </c>
      <c r="AK39" s="30">
        <f t="shared" si="59"/>
        <v>797</v>
      </c>
      <c r="AL39" s="30">
        <f t="shared" si="59"/>
        <v>797</v>
      </c>
      <c r="AM39" s="30">
        <f t="shared" si="59"/>
        <v>797</v>
      </c>
      <c r="AN39" s="30">
        <f t="shared" si="59"/>
        <v>797</v>
      </c>
      <c r="AO39" s="30">
        <f t="shared" si="59"/>
        <v>797</v>
      </c>
      <c r="AP39" s="30">
        <f t="shared" si="59"/>
        <v>797</v>
      </c>
      <c r="AQ39" s="30">
        <f t="shared" si="59"/>
        <v>797</v>
      </c>
      <c r="AR39" s="30">
        <f t="shared" si="59"/>
        <v>797</v>
      </c>
      <c r="AS39" s="28">
        <f t="shared" si="15"/>
        <v>9564</v>
      </c>
      <c r="AT39" s="80"/>
    </row>
    <row r="40" spans="1:46" s="16" customFormat="1" ht="14.25" customHeight="1">
      <c r="A40" s="12"/>
      <c r="B40" s="21"/>
      <c r="C40" s="21"/>
      <c r="D40" s="31" t="s">
        <v>202</v>
      </c>
      <c r="E40" s="9"/>
      <c r="F40" s="8">
        <v>0.0026</v>
      </c>
      <c r="G40" s="30">
        <f>ROUND(F40*$G$10,0)</f>
        <v>691</v>
      </c>
      <c r="H40" s="30">
        <f aca="true" t="shared" si="60" ref="H40:R40">G40</f>
        <v>691</v>
      </c>
      <c r="I40" s="30">
        <f t="shared" si="60"/>
        <v>691</v>
      </c>
      <c r="J40" s="30">
        <f t="shared" si="60"/>
        <v>691</v>
      </c>
      <c r="K40" s="30">
        <f t="shared" si="60"/>
        <v>691</v>
      </c>
      <c r="L40" s="30">
        <f t="shared" si="60"/>
        <v>691</v>
      </c>
      <c r="M40" s="30">
        <f t="shared" si="60"/>
        <v>691</v>
      </c>
      <c r="N40" s="30">
        <f t="shared" si="60"/>
        <v>691</v>
      </c>
      <c r="O40" s="30">
        <f t="shared" si="60"/>
        <v>691</v>
      </c>
      <c r="P40" s="30">
        <f t="shared" si="60"/>
        <v>691</v>
      </c>
      <c r="Q40" s="30">
        <f t="shared" si="60"/>
        <v>691</v>
      </c>
      <c r="R40" s="30">
        <f t="shared" si="60"/>
        <v>691</v>
      </c>
      <c r="S40" s="28">
        <f t="shared" si="24"/>
        <v>8292</v>
      </c>
      <c r="T40" s="30">
        <f>R40</f>
        <v>691</v>
      </c>
      <c r="U40" s="30">
        <f aca="true" t="shared" si="61" ref="U40:AE40">T40</f>
        <v>691</v>
      </c>
      <c r="V40" s="30">
        <f t="shared" si="61"/>
        <v>691</v>
      </c>
      <c r="W40" s="30">
        <f t="shared" si="61"/>
        <v>691</v>
      </c>
      <c r="X40" s="30">
        <f t="shared" si="61"/>
        <v>691</v>
      </c>
      <c r="Y40" s="30">
        <f t="shared" si="61"/>
        <v>691</v>
      </c>
      <c r="Z40" s="30">
        <f t="shared" si="61"/>
        <v>691</v>
      </c>
      <c r="AA40" s="30">
        <f t="shared" si="61"/>
        <v>691</v>
      </c>
      <c r="AB40" s="30">
        <f t="shared" si="61"/>
        <v>691</v>
      </c>
      <c r="AC40" s="30">
        <f t="shared" si="61"/>
        <v>691</v>
      </c>
      <c r="AD40" s="30">
        <f t="shared" si="61"/>
        <v>691</v>
      </c>
      <c r="AE40" s="30">
        <f t="shared" si="61"/>
        <v>691</v>
      </c>
      <c r="AF40" s="28">
        <f t="shared" si="13"/>
        <v>8292</v>
      </c>
      <c r="AG40" s="30">
        <f>AE40</f>
        <v>691</v>
      </c>
      <c r="AH40" s="30">
        <f t="shared" si="21"/>
        <v>691</v>
      </c>
      <c r="AI40" s="30">
        <f aca="true" t="shared" si="62" ref="AI40:AR40">AH40</f>
        <v>691</v>
      </c>
      <c r="AJ40" s="30">
        <f t="shared" si="62"/>
        <v>691</v>
      </c>
      <c r="AK40" s="30">
        <f t="shared" si="62"/>
        <v>691</v>
      </c>
      <c r="AL40" s="30">
        <f t="shared" si="62"/>
        <v>691</v>
      </c>
      <c r="AM40" s="30">
        <f t="shared" si="62"/>
        <v>691</v>
      </c>
      <c r="AN40" s="30">
        <f t="shared" si="62"/>
        <v>691</v>
      </c>
      <c r="AO40" s="30">
        <f t="shared" si="62"/>
        <v>691</v>
      </c>
      <c r="AP40" s="30">
        <f t="shared" si="62"/>
        <v>691</v>
      </c>
      <c r="AQ40" s="30">
        <f t="shared" si="62"/>
        <v>691</v>
      </c>
      <c r="AR40" s="30">
        <f t="shared" si="62"/>
        <v>691</v>
      </c>
      <c r="AS40" s="28">
        <f t="shared" si="15"/>
        <v>8292</v>
      </c>
      <c r="AT40" s="80"/>
    </row>
    <row r="41" spans="1:46" s="16" customFormat="1" ht="14.25" customHeight="1">
      <c r="A41" s="12"/>
      <c r="B41" s="21"/>
      <c r="C41" s="21"/>
      <c r="D41" s="31" t="s">
        <v>201</v>
      </c>
      <c r="E41" s="9"/>
      <c r="F41" s="81">
        <v>0.005</v>
      </c>
      <c r="G41" s="30">
        <f>ROUND(F41*$G$10,0)</f>
        <v>1328</v>
      </c>
      <c r="H41" s="30">
        <f aca="true" t="shared" si="63" ref="H41:R41">G41</f>
        <v>1328</v>
      </c>
      <c r="I41" s="30">
        <f t="shared" si="63"/>
        <v>1328</v>
      </c>
      <c r="J41" s="30">
        <f t="shared" si="63"/>
        <v>1328</v>
      </c>
      <c r="K41" s="30">
        <f t="shared" si="63"/>
        <v>1328</v>
      </c>
      <c r="L41" s="30">
        <f t="shared" si="63"/>
        <v>1328</v>
      </c>
      <c r="M41" s="30">
        <f t="shared" si="63"/>
        <v>1328</v>
      </c>
      <c r="N41" s="30">
        <f t="shared" si="63"/>
        <v>1328</v>
      </c>
      <c r="O41" s="30">
        <f t="shared" si="63"/>
        <v>1328</v>
      </c>
      <c r="P41" s="30">
        <f t="shared" si="63"/>
        <v>1328</v>
      </c>
      <c r="Q41" s="30">
        <f t="shared" si="63"/>
        <v>1328</v>
      </c>
      <c r="R41" s="30">
        <f t="shared" si="63"/>
        <v>1328</v>
      </c>
      <c r="S41" s="28">
        <f>SUM(G41:R41)</f>
        <v>15936</v>
      </c>
      <c r="T41" s="30">
        <f>R41</f>
        <v>1328</v>
      </c>
      <c r="U41" s="30">
        <f aca="true" t="shared" si="64" ref="U41:AE41">T41</f>
        <v>1328</v>
      </c>
      <c r="V41" s="30">
        <f t="shared" si="64"/>
        <v>1328</v>
      </c>
      <c r="W41" s="30">
        <f t="shared" si="64"/>
        <v>1328</v>
      </c>
      <c r="X41" s="30">
        <f t="shared" si="64"/>
        <v>1328</v>
      </c>
      <c r="Y41" s="30">
        <f t="shared" si="64"/>
        <v>1328</v>
      </c>
      <c r="Z41" s="30">
        <f t="shared" si="64"/>
        <v>1328</v>
      </c>
      <c r="AA41" s="30">
        <f t="shared" si="64"/>
        <v>1328</v>
      </c>
      <c r="AB41" s="30">
        <f t="shared" si="64"/>
        <v>1328</v>
      </c>
      <c r="AC41" s="30">
        <f t="shared" si="64"/>
        <v>1328</v>
      </c>
      <c r="AD41" s="30">
        <f t="shared" si="64"/>
        <v>1328</v>
      </c>
      <c r="AE41" s="30">
        <f t="shared" si="64"/>
        <v>1328</v>
      </c>
      <c r="AF41" s="28">
        <f>SUM(T41:AE41)</f>
        <v>15936</v>
      </c>
      <c r="AG41" s="30">
        <f>AE41</f>
        <v>1328</v>
      </c>
      <c r="AH41" s="30">
        <f t="shared" si="21"/>
        <v>1328</v>
      </c>
      <c r="AI41" s="30">
        <f aca="true" t="shared" si="65" ref="AI41:AR41">AH41</f>
        <v>1328</v>
      </c>
      <c r="AJ41" s="30">
        <f t="shared" si="65"/>
        <v>1328</v>
      </c>
      <c r="AK41" s="30">
        <f t="shared" si="65"/>
        <v>1328</v>
      </c>
      <c r="AL41" s="30">
        <f t="shared" si="65"/>
        <v>1328</v>
      </c>
      <c r="AM41" s="30">
        <f t="shared" si="65"/>
        <v>1328</v>
      </c>
      <c r="AN41" s="30">
        <f t="shared" si="65"/>
        <v>1328</v>
      </c>
      <c r="AO41" s="30">
        <f t="shared" si="65"/>
        <v>1328</v>
      </c>
      <c r="AP41" s="30">
        <f t="shared" si="65"/>
        <v>1328</v>
      </c>
      <c r="AQ41" s="30">
        <f t="shared" si="65"/>
        <v>1328</v>
      </c>
      <c r="AR41" s="30">
        <f t="shared" si="65"/>
        <v>1328</v>
      </c>
      <c r="AS41" s="28">
        <f>SUM(AG41:AR41)</f>
        <v>15936</v>
      </c>
      <c r="AT41" s="80"/>
    </row>
    <row r="42" spans="1:46" s="16" customFormat="1" ht="14.25" customHeight="1">
      <c r="A42" s="12"/>
      <c r="B42" s="21"/>
      <c r="C42" s="21"/>
      <c r="D42" s="31" t="s">
        <v>59</v>
      </c>
      <c r="E42" s="9"/>
      <c r="F42" s="9"/>
      <c r="G42" s="10">
        <f>IF(('BS 36-month Projection'!F14+'BS 36-month Projection'!F16)&gt;0,ROUND(('BS 36-month Projection'!F14+'BS 36-month Projection'!F16)*Assumptions!$C$21/12,0),0)+IF(('BS 36-month Projection'!F15)&gt;0,ROUND(('BS 36-month Projection'!F15)*Assumptions!$C$22/12,0),0)</f>
        <v>0</v>
      </c>
      <c r="H42" s="10">
        <f>IF(('BS 36-month Projection'!G14+'BS 36-month Projection'!G16)&gt;0,ROUND(('BS 36-month Projection'!G14+'BS 36-month Projection'!G16)*Assumptions!$C$21/12,0),0)+IF(('BS 36-month Projection'!G15)&gt;0,ROUND(('BS 36-month Projection'!G15)*Assumptions!$C$22/12,0),0)</f>
        <v>0</v>
      </c>
      <c r="I42" s="10">
        <f>IF(('BS 36-month Projection'!H14+'BS 36-month Projection'!H16)&gt;0,ROUND(('BS 36-month Projection'!H14+'BS 36-month Projection'!H16)*Assumptions!$C$21/12,0),0)+IF(('BS 36-month Projection'!H15)&gt;0,ROUND(('BS 36-month Projection'!H15)*Assumptions!$C$22/12,0),0)</f>
        <v>0</v>
      </c>
      <c r="J42" s="10">
        <f>IF(('BS 36-month Projection'!I14+'BS 36-month Projection'!I16)&gt;0,ROUND(('BS 36-month Projection'!I14+'BS 36-month Projection'!I16)*Assumptions!$C$21/12,0),0)+IF(('BS 36-month Projection'!I15)&gt;0,ROUND(('BS 36-month Projection'!I15)*Assumptions!$C$22/12,0),0)</f>
        <v>802</v>
      </c>
      <c r="K42" s="10">
        <f>IF(('BS 36-month Projection'!J14+'BS 36-month Projection'!J16)&gt;0,ROUND(('BS 36-month Projection'!J14+'BS 36-month Projection'!J16)*Assumptions!$C$21/12,0),0)+IF(('BS 36-month Projection'!J15)&gt;0,ROUND(('BS 36-month Projection'!J15)*Assumptions!$C$22/12,0),0)</f>
        <v>1805</v>
      </c>
      <c r="L42" s="10">
        <f>IF(('BS 36-month Projection'!K14+'BS 36-month Projection'!K16)&gt;0,ROUND(('BS 36-month Projection'!K14+'BS 36-month Projection'!K16)*Assumptions!$C$21/12,0),0)+IF(('BS 36-month Projection'!K15)&gt;0,ROUND(('BS 36-month Projection'!K15)*Assumptions!$C$22/12,0),0)</f>
        <v>2774</v>
      </c>
      <c r="M42" s="10">
        <f>IF(('BS 36-month Projection'!L14+'BS 36-month Projection'!L16)&gt;0,ROUND(('BS 36-month Projection'!L14+'BS 36-month Projection'!L16)*Assumptions!$C$21/12,0),0)+IF(('BS 36-month Projection'!L15)&gt;0,ROUND(('BS 36-month Projection'!L15)*Assumptions!$C$22/12,0),0)</f>
        <v>3709</v>
      </c>
      <c r="N42" s="10">
        <f>IF(('BS 36-month Projection'!M14+'BS 36-month Projection'!M16)&gt;0,ROUND(('BS 36-month Projection'!M14+'BS 36-month Projection'!M16)*Assumptions!$C$21/12,0),0)+IF(('BS 36-month Projection'!M15)&gt;0,ROUND(('BS 36-month Projection'!M15)*Assumptions!$C$22/12,0),0)</f>
        <v>4610</v>
      </c>
      <c r="O42" s="10">
        <f>IF(('BS 36-month Projection'!N14+'BS 36-month Projection'!N16)&gt;0,ROUND(('BS 36-month Projection'!N14+'BS 36-month Projection'!N16)*Assumptions!$C$21/12,0),0)+IF(('BS 36-month Projection'!N15)&gt;0,ROUND(('BS 36-month Projection'!N15)*Assumptions!$C$22/12,0),0)</f>
        <v>5476</v>
      </c>
      <c r="P42" s="10">
        <f>IF(('BS 36-month Projection'!O14+'BS 36-month Projection'!O16)&gt;0,ROUND(('BS 36-month Projection'!O14+'BS 36-month Projection'!O16)*Assumptions!$C$21/12,0),0)+IF(('BS 36-month Projection'!O15)&gt;0,ROUND(('BS 36-month Projection'!O15)*Assumptions!$C$22/12,0),0)</f>
        <v>6307</v>
      </c>
      <c r="Q42" s="10">
        <f>IF(('BS 36-month Projection'!P14+'BS 36-month Projection'!P16)&gt;0,ROUND(('BS 36-month Projection'!P14+'BS 36-month Projection'!P16)*Assumptions!$C$21/12,0),0)+IF(('BS 36-month Projection'!P15)&gt;0,ROUND(('BS 36-month Projection'!P15)*Assumptions!$C$22/12,0),0)</f>
        <v>7102</v>
      </c>
      <c r="R42" s="10">
        <f>IF(('BS 36-month Projection'!Q14+'BS 36-month Projection'!Q16)&gt;0,ROUND(('BS 36-month Projection'!Q14+'BS 36-month Projection'!Q16)*Assumptions!$C$21/12,0),0)+IF(('BS 36-month Projection'!Q15)&gt;0,ROUND(('BS 36-month Projection'!Q15)*Assumptions!$C$22/12,0),0)</f>
        <v>7863</v>
      </c>
      <c r="S42" s="28">
        <f t="shared" si="24"/>
        <v>40448</v>
      </c>
      <c r="T42" s="10">
        <f>IF(('BS 36-month Projection'!R14+'BS 36-month Projection'!R16)&gt;0,ROUND(('BS 36-month Projection'!R14+'BS 36-month Projection'!R16)*Assumptions!$C$21/12,0),0)+IF(('BS 36-month Projection'!R15)&gt;0,ROUND(('BS 36-month Projection'!R15)*Assumptions!$C$22/12,0),0)</f>
        <v>8588</v>
      </c>
      <c r="U42" s="10">
        <f>IF(('BS 36-month Projection'!S14+'BS 36-month Projection'!S16)&gt;0,ROUND(('BS 36-month Projection'!S14+'BS 36-month Projection'!S16)*Assumptions!$C$21/12,0),0)+IF(('BS 36-month Projection'!S15)&gt;0,ROUND(('BS 36-month Projection'!S15)*Assumptions!$C$22/12,0),0)</f>
        <v>9277</v>
      </c>
      <c r="V42" s="10">
        <f>IF(('BS 36-month Projection'!T14+'BS 36-month Projection'!T16)&gt;0,ROUND(('BS 36-month Projection'!T14+'BS 36-month Projection'!T16)*Assumptions!$C$21/12,0),0)+IF(('BS 36-month Projection'!T15)&gt;0,ROUND(('BS 36-month Projection'!T15)*Assumptions!$C$22/12,0),0)</f>
        <v>9930</v>
      </c>
      <c r="W42" s="10">
        <f>IF(('BS 36-month Projection'!U14+'BS 36-month Projection'!U16)&gt;0,ROUND(('BS 36-month Projection'!U14+'BS 36-month Projection'!U16)*Assumptions!$C$21/12,0),0)+IF(('BS 36-month Projection'!U15)&gt;0,ROUND(('BS 36-month Projection'!U15)*Assumptions!$C$22/12,0),0)</f>
        <v>10546</v>
      </c>
      <c r="X42" s="10">
        <f>IF(('BS 36-month Projection'!V14+'BS 36-month Projection'!V16)&gt;0,ROUND(('BS 36-month Projection'!V14+'BS 36-month Projection'!V16)*Assumptions!$C$21/12,0),0)+IF(('BS 36-month Projection'!V15)&gt;0,ROUND(('BS 36-month Projection'!V15)*Assumptions!$C$22/12,0),0)</f>
        <v>11126</v>
      </c>
      <c r="Y42" s="10">
        <f>IF(('BS 36-month Projection'!W14+'BS 36-month Projection'!W16)&gt;0,ROUND(('BS 36-month Projection'!W14+'BS 36-month Projection'!W16)*Assumptions!$C$21/12,0),0)+IF(('BS 36-month Projection'!W15)&gt;0,ROUND(('BS 36-month Projection'!W15)*Assumptions!$C$22/12,0),0)</f>
        <v>11670</v>
      </c>
      <c r="Z42" s="10">
        <f>IF(('BS 36-month Projection'!X14+'BS 36-month Projection'!X16)&gt;0,ROUND(('BS 36-month Projection'!X14+'BS 36-month Projection'!X16)*Assumptions!$C$21/12,0),0)+IF(('BS 36-month Projection'!X15)&gt;0,ROUND(('BS 36-month Projection'!X15)*Assumptions!$C$22/12,0),0)</f>
        <v>12176</v>
      </c>
      <c r="AA42" s="10">
        <f>IF(('BS 36-month Projection'!Y14+'BS 36-month Projection'!Y16)&gt;0,ROUND(('BS 36-month Projection'!Y14+'BS 36-month Projection'!Y16)*Assumptions!$C$21/12,0),0)+IF(('BS 36-month Projection'!Y15)&gt;0,ROUND(('BS 36-month Projection'!Y15)*Assumptions!$C$22/12,0),0)</f>
        <v>12645</v>
      </c>
      <c r="AB42" s="10">
        <f>IF(('BS 36-month Projection'!Z14+'BS 36-month Projection'!Z16)&gt;0,ROUND(('BS 36-month Projection'!Z14+'BS 36-month Projection'!Z16)*Assumptions!$C$21/12,0),0)+IF(('BS 36-month Projection'!Z15)&gt;0,ROUND(('BS 36-month Projection'!Z15)*Assumptions!$C$22/12,0),0)</f>
        <v>13076</v>
      </c>
      <c r="AC42" s="10">
        <f>IF(('BS 36-month Projection'!AA14+'BS 36-month Projection'!AA16)&gt;0,ROUND(('BS 36-month Projection'!AA14+'BS 36-month Projection'!AA16)*Assumptions!$C$21/12,0),0)+IF(('BS 36-month Projection'!AA15)&gt;0,ROUND(('BS 36-month Projection'!AA15)*Assumptions!$C$22/12,0),0)</f>
        <v>13470</v>
      </c>
      <c r="AD42" s="10">
        <f>IF(('BS 36-month Projection'!AB14+'BS 36-month Projection'!AB16)&gt;0,ROUND(('BS 36-month Projection'!AB14+'BS 36-month Projection'!AB16)*Assumptions!$C$21/12,0),0)+IF(('BS 36-month Projection'!AB15)&gt;0,ROUND(('BS 36-month Projection'!AB15)*Assumptions!$C$22/12,0),0)</f>
        <v>13825</v>
      </c>
      <c r="AE42" s="10">
        <f>IF(('BS 36-month Projection'!AC14+'BS 36-month Projection'!AC16)&gt;0,ROUND(('BS 36-month Projection'!AC14+'BS 36-month Projection'!AC16)*Assumptions!$C$21/12,0),0)+IF(('BS 36-month Projection'!AC15)&gt;0,ROUND(('BS 36-month Projection'!AC15)*Assumptions!$C$22/12,0),0)</f>
        <v>14143</v>
      </c>
      <c r="AF42" s="28">
        <f t="shared" si="13"/>
        <v>140472</v>
      </c>
      <c r="AG42" s="10">
        <f>IF(('BS 36-month Projection'!AD14+'BS 36-month Projection'!AD16)&gt;0,ROUND(('BS 36-month Projection'!AD14+'BS 36-month Projection'!AD16)*Assumptions!$C$21/12,0),0)+IF(('BS 36-month Projection'!AD15)&gt;0,ROUND(('BS 36-month Projection'!AD15)*Assumptions!$C$22/12,0),0)</f>
        <v>14421</v>
      </c>
      <c r="AH42" s="10">
        <f>IF(('BS 36-month Projection'!AE14+'BS 36-month Projection'!AE16)&gt;0,ROUND(('BS 36-month Projection'!AE14+'BS 36-month Projection'!AE16)*Assumptions!$C$21/12,0),0)+IF(('BS 36-month Projection'!AE15)&gt;0,ROUND(('BS 36-month Projection'!AE15)*Assumptions!$C$22/12,0),0)</f>
        <v>14661</v>
      </c>
      <c r="AI42" s="10">
        <f>IF(('BS 36-month Projection'!AF14+'BS 36-month Projection'!AF16)&gt;0,ROUND(('BS 36-month Projection'!AF14+'BS 36-month Projection'!AF16)*Assumptions!$C$21/12,0),0)+IF(('BS 36-month Projection'!AF15)&gt;0,ROUND(('BS 36-month Projection'!AF15)*Assumptions!$C$22/12,0),0)</f>
        <v>14862</v>
      </c>
      <c r="AJ42" s="10">
        <f>IF(('BS 36-month Projection'!AG14+'BS 36-month Projection'!AG16)&gt;0,ROUND(('BS 36-month Projection'!AG14+'BS 36-month Projection'!AG16)*Assumptions!$C$21/12,0),0)+IF(('BS 36-month Projection'!AG15)&gt;0,ROUND(('BS 36-month Projection'!AG15)*Assumptions!$C$22/12,0),0)</f>
        <v>15023</v>
      </c>
      <c r="AK42" s="10">
        <f>IF(('BS 36-month Projection'!AH14+'BS 36-month Projection'!AH16)&gt;0,ROUND(('BS 36-month Projection'!AH14+'BS 36-month Projection'!AH16)*Assumptions!$C$21/12,0),0)+IF(('BS 36-month Projection'!AH15)&gt;0,ROUND(('BS 36-month Projection'!AH15)*Assumptions!$C$22/12,0),0)</f>
        <v>15145</v>
      </c>
      <c r="AL42" s="10">
        <f>IF(('BS 36-month Projection'!AI14+'BS 36-month Projection'!AI16)&gt;0,ROUND(('BS 36-month Projection'!AI14+'BS 36-month Projection'!AI16)*Assumptions!$C$21/12,0),0)+IF(('BS 36-month Projection'!AI15)&gt;0,ROUND(('BS 36-month Projection'!AI15)*Assumptions!$C$22/12,0),0)</f>
        <v>15227</v>
      </c>
      <c r="AM42" s="10">
        <f>IF(('BS 36-month Projection'!AJ14+'BS 36-month Projection'!AJ16)&gt;0,ROUND(('BS 36-month Projection'!AJ14+'BS 36-month Projection'!AJ16)*Assumptions!$C$21/12,0),0)+IF(('BS 36-month Projection'!AJ15)&gt;0,ROUND(('BS 36-month Projection'!AJ15)*Assumptions!$C$22/12,0),0)</f>
        <v>15269</v>
      </c>
      <c r="AN42" s="10">
        <f>IF(('BS 36-month Projection'!AK14+'BS 36-month Projection'!AK16)&gt;0,ROUND(('BS 36-month Projection'!AK14+'BS 36-month Projection'!AK16)*Assumptions!$C$21/12,0),0)+IF(('BS 36-month Projection'!AK15)&gt;0,ROUND(('BS 36-month Projection'!AK15)*Assumptions!$C$22/12,0),0)</f>
        <v>15271</v>
      </c>
      <c r="AO42" s="10">
        <f>IF(('BS 36-month Projection'!AL14+'BS 36-month Projection'!AL16)&gt;0,ROUND(('BS 36-month Projection'!AL14+'BS 36-month Projection'!AL16)*Assumptions!$C$21/12,0),0)+IF(('BS 36-month Projection'!AL15)&gt;0,ROUND(('BS 36-month Projection'!AL15)*Assumptions!$C$22/12,0),0)</f>
        <v>15232</v>
      </c>
      <c r="AP42" s="10">
        <f>IF(('BS 36-month Projection'!AM14+'BS 36-month Projection'!AM16)&gt;0,ROUND(('BS 36-month Projection'!AM14+'BS 36-month Projection'!AM16)*Assumptions!$C$21/12,0),0)+IF(('BS 36-month Projection'!AM15)&gt;0,ROUND(('BS 36-month Projection'!AM15)*Assumptions!$C$22/12,0),0)</f>
        <v>15151</v>
      </c>
      <c r="AQ42" s="10">
        <f>IF(('BS 36-month Projection'!AN14+'BS 36-month Projection'!AN16)&gt;0,ROUND(('BS 36-month Projection'!AN14+'BS 36-month Projection'!AN16)*Assumptions!$C$21/12,0),0)+IF(('BS 36-month Projection'!AN15)&gt;0,ROUND(('BS 36-month Projection'!AN15)*Assumptions!$C$22/12,0),0)</f>
        <v>15030</v>
      </c>
      <c r="AR42" s="10">
        <f>IF(('BS 36-month Projection'!AO14+'BS 36-month Projection'!AO16)&gt;0,ROUND(('BS 36-month Projection'!AO14+'BS 36-month Projection'!AO16)*Assumptions!$C$21/12,0),0)+IF(('BS 36-month Projection'!AO15)&gt;0,ROUND(('BS 36-month Projection'!AO15)*Assumptions!$C$22/12,0),0)</f>
        <v>14867</v>
      </c>
      <c r="AS42" s="28">
        <f t="shared" si="15"/>
        <v>180159</v>
      </c>
      <c r="AT42" s="80"/>
    </row>
    <row r="43" spans="1:45" s="16" customFormat="1" ht="14.25" customHeight="1">
      <c r="A43" s="12"/>
      <c r="B43" s="21"/>
      <c r="C43" s="21" t="s">
        <v>9</v>
      </c>
      <c r="D43" s="21"/>
      <c r="E43" s="9"/>
      <c r="F43" s="9"/>
      <c r="G43" s="34">
        <f aca="true" t="shared" si="66" ref="G43:AS43">SUM(G26:G42)</f>
        <v>52130</v>
      </c>
      <c r="H43" s="34">
        <f t="shared" si="66"/>
        <v>52130</v>
      </c>
      <c r="I43" s="34">
        <f t="shared" si="66"/>
        <v>52130</v>
      </c>
      <c r="J43" s="34">
        <f t="shared" si="66"/>
        <v>52932</v>
      </c>
      <c r="K43" s="34">
        <f t="shared" si="66"/>
        <v>53935</v>
      </c>
      <c r="L43" s="34">
        <f t="shared" si="66"/>
        <v>54904</v>
      </c>
      <c r="M43" s="34">
        <f t="shared" si="66"/>
        <v>55839</v>
      </c>
      <c r="N43" s="34">
        <f t="shared" si="66"/>
        <v>56740</v>
      </c>
      <c r="O43" s="34">
        <f t="shared" si="66"/>
        <v>57606</v>
      </c>
      <c r="P43" s="34">
        <f t="shared" si="66"/>
        <v>58437</v>
      </c>
      <c r="Q43" s="34">
        <f t="shared" si="66"/>
        <v>59232</v>
      </c>
      <c r="R43" s="34">
        <f t="shared" si="66"/>
        <v>59993</v>
      </c>
      <c r="S43" s="34">
        <f t="shared" si="66"/>
        <v>666008</v>
      </c>
      <c r="T43" s="34">
        <f t="shared" si="66"/>
        <v>60718</v>
      </c>
      <c r="U43" s="34">
        <f t="shared" si="66"/>
        <v>61407</v>
      </c>
      <c r="V43" s="34">
        <f t="shared" si="66"/>
        <v>62060</v>
      </c>
      <c r="W43" s="34">
        <f t="shared" si="66"/>
        <v>62676</v>
      </c>
      <c r="X43" s="34">
        <f t="shared" si="66"/>
        <v>63256</v>
      </c>
      <c r="Y43" s="34">
        <f t="shared" si="66"/>
        <v>63800</v>
      </c>
      <c r="Z43" s="34">
        <f t="shared" si="66"/>
        <v>64306</v>
      </c>
      <c r="AA43" s="34">
        <f t="shared" si="66"/>
        <v>64775</v>
      </c>
      <c r="AB43" s="34">
        <f t="shared" si="66"/>
        <v>65206</v>
      </c>
      <c r="AC43" s="34">
        <f t="shared" si="66"/>
        <v>65600</v>
      </c>
      <c r="AD43" s="34">
        <f t="shared" si="66"/>
        <v>65955</v>
      </c>
      <c r="AE43" s="34">
        <f t="shared" si="66"/>
        <v>66273</v>
      </c>
      <c r="AF43" s="34">
        <f t="shared" si="66"/>
        <v>766032</v>
      </c>
      <c r="AG43" s="34">
        <f t="shared" si="66"/>
        <v>66551</v>
      </c>
      <c r="AH43" s="34">
        <f t="shared" si="66"/>
        <v>66791</v>
      </c>
      <c r="AI43" s="34">
        <f t="shared" si="66"/>
        <v>66992</v>
      </c>
      <c r="AJ43" s="34">
        <f t="shared" si="66"/>
        <v>67153</v>
      </c>
      <c r="AK43" s="34">
        <f t="shared" si="66"/>
        <v>67275</v>
      </c>
      <c r="AL43" s="34">
        <f t="shared" si="66"/>
        <v>67357</v>
      </c>
      <c r="AM43" s="34">
        <f t="shared" si="66"/>
        <v>67399</v>
      </c>
      <c r="AN43" s="34">
        <f t="shared" si="66"/>
        <v>67401</v>
      </c>
      <c r="AO43" s="34">
        <f t="shared" si="66"/>
        <v>67362</v>
      </c>
      <c r="AP43" s="34">
        <f t="shared" si="66"/>
        <v>67281</v>
      </c>
      <c r="AQ43" s="34">
        <f t="shared" si="66"/>
        <v>67160</v>
      </c>
      <c r="AR43" s="34">
        <f t="shared" si="66"/>
        <v>66997</v>
      </c>
      <c r="AS43" s="34">
        <f t="shared" si="66"/>
        <v>805719</v>
      </c>
    </row>
    <row r="44" spans="1:45" s="16" customFormat="1" ht="14.25" customHeight="1" thickBot="1">
      <c r="A44" s="12"/>
      <c r="B44" s="31" t="s">
        <v>130</v>
      </c>
      <c r="C44" s="21"/>
      <c r="D44" s="21"/>
      <c r="E44" s="9"/>
      <c r="F44" s="9"/>
      <c r="G44" s="37">
        <f aca="true" t="shared" si="67" ref="G44:AS44">G23-G43</f>
        <v>53739.5</v>
      </c>
      <c r="H44" s="38">
        <f t="shared" si="67"/>
        <v>55124.84999999998</v>
      </c>
      <c r="I44" s="38">
        <f t="shared" si="67"/>
        <v>55098.70000000001</v>
      </c>
      <c r="J44" s="38">
        <f t="shared" si="67"/>
        <v>52695.65000000002</v>
      </c>
      <c r="K44" s="38">
        <f t="shared" si="67"/>
        <v>48258.79999999999</v>
      </c>
      <c r="L44" s="38">
        <f t="shared" si="67"/>
        <v>45003.15000000002</v>
      </c>
      <c r="M44" s="38">
        <f t="shared" si="67"/>
        <v>41552.65000000002</v>
      </c>
      <c r="N44" s="38">
        <f t="shared" si="67"/>
        <v>37257.29999999999</v>
      </c>
      <c r="O44" s="38">
        <f t="shared" si="67"/>
        <v>33862.09999999998</v>
      </c>
      <c r="P44" s="38">
        <f t="shared" si="67"/>
        <v>30734.04999999999</v>
      </c>
      <c r="Q44" s="37">
        <f t="shared" si="67"/>
        <v>28665.25</v>
      </c>
      <c r="R44" s="37">
        <f t="shared" si="67"/>
        <v>26915.650000000023</v>
      </c>
      <c r="S44" s="37">
        <f t="shared" si="67"/>
        <v>508907.6499999999</v>
      </c>
      <c r="T44" s="37">
        <f t="shared" si="67"/>
        <v>25791.20000000001</v>
      </c>
      <c r="U44" s="37">
        <f t="shared" si="67"/>
        <v>25346.900000000023</v>
      </c>
      <c r="V44" s="37">
        <f t="shared" si="67"/>
        <v>24552.849999999977</v>
      </c>
      <c r="W44" s="38">
        <f t="shared" si="67"/>
        <v>24150</v>
      </c>
      <c r="X44" s="38">
        <f t="shared" si="67"/>
        <v>24027.29999999999</v>
      </c>
      <c r="Y44" s="38">
        <f t="shared" si="67"/>
        <v>23807.849999999977</v>
      </c>
      <c r="Z44" s="38">
        <f t="shared" si="67"/>
        <v>24200.599999999977</v>
      </c>
      <c r="AA44" s="38">
        <f t="shared" si="67"/>
        <v>24552.5</v>
      </c>
      <c r="AB44" s="38">
        <f t="shared" si="67"/>
        <v>24774.650000000023</v>
      </c>
      <c r="AC44" s="38">
        <f t="shared" si="67"/>
        <v>25254</v>
      </c>
      <c r="AD44" s="38">
        <f t="shared" si="67"/>
        <v>25681.5</v>
      </c>
      <c r="AE44" s="38">
        <f t="shared" si="67"/>
        <v>26270.25</v>
      </c>
      <c r="AF44" s="37">
        <f t="shared" si="67"/>
        <v>298409.6000000001</v>
      </c>
      <c r="AG44" s="38">
        <f t="shared" si="67"/>
        <v>26831.29999999999</v>
      </c>
      <c r="AH44" s="38">
        <f t="shared" si="67"/>
        <v>27398.54999999999</v>
      </c>
      <c r="AI44" s="38">
        <f t="shared" si="67"/>
        <v>27974.04999999999</v>
      </c>
      <c r="AJ44" s="38">
        <f t="shared" si="67"/>
        <v>28436.75</v>
      </c>
      <c r="AK44" s="38">
        <f t="shared" si="67"/>
        <v>28896.599999999977</v>
      </c>
      <c r="AL44" s="38">
        <f t="shared" si="67"/>
        <v>29385.79999999999</v>
      </c>
      <c r="AM44" s="38">
        <f t="shared" si="67"/>
        <v>29823.25</v>
      </c>
      <c r="AN44" s="38">
        <f t="shared" si="67"/>
        <v>30241.849999999977</v>
      </c>
      <c r="AO44" s="38">
        <f t="shared" si="67"/>
        <v>30646.79999999999</v>
      </c>
      <c r="AP44" s="38">
        <f t="shared" si="67"/>
        <v>31006.900000000023</v>
      </c>
      <c r="AQ44" s="38">
        <f t="shared" si="67"/>
        <v>31320.29999999999</v>
      </c>
      <c r="AR44" s="38">
        <f t="shared" si="67"/>
        <v>31586.04999999999</v>
      </c>
      <c r="AS44" s="37">
        <f t="shared" si="67"/>
        <v>353548.2000000002</v>
      </c>
    </row>
    <row r="45" spans="1:45" s="16" customFormat="1" ht="14.25" customHeight="1" thickTop="1">
      <c r="A45" s="12"/>
      <c r="B45" s="21"/>
      <c r="C45" s="21"/>
      <c r="D45" s="21"/>
      <c r="E45" s="9"/>
      <c r="F45" s="9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</row>
    <row r="46" spans="1:45" s="16" customFormat="1" ht="14.25" customHeight="1">
      <c r="A46" s="12"/>
      <c r="B46" s="21"/>
      <c r="C46" s="21"/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ht="14.25" customHeight="1">
      <c r="A47" s="39"/>
    </row>
    <row r="48" spans="1:7" ht="14.25" customHeight="1">
      <c r="A48" s="39"/>
      <c r="G48" s="84"/>
    </row>
    <row r="49" ht="14.25" customHeight="1">
      <c r="A49" s="39"/>
    </row>
    <row r="50" spans="1:4" ht="14.25" customHeight="1">
      <c r="A50" s="39"/>
      <c r="B50" s="41"/>
      <c r="C50" s="41"/>
      <c r="D50" s="41"/>
    </row>
    <row r="51" spans="1:4" ht="14.25" customHeight="1">
      <c r="A51" s="39"/>
      <c r="B51" s="41"/>
      <c r="C51" s="41"/>
      <c r="D51" s="41"/>
    </row>
    <row r="52" spans="1:4" ht="14.25" customHeight="1">
      <c r="A52" s="39"/>
      <c r="B52" s="41"/>
      <c r="C52" s="41"/>
      <c r="D52" s="41"/>
    </row>
    <row r="53" ht="14.25" customHeight="1">
      <c r="A53" s="39"/>
    </row>
    <row r="54" ht="14.25" customHeight="1">
      <c r="A54" s="39"/>
    </row>
    <row r="55" spans="1:21" ht="14.25" customHeight="1">
      <c r="A55" s="1"/>
      <c r="T55" s="72"/>
      <c r="U55" s="72"/>
    </row>
    <row r="56" ht="14.25" customHeight="1">
      <c r="A56" s="1"/>
    </row>
    <row r="57" ht="14.25" customHeight="1">
      <c r="A57" s="1"/>
    </row>
    <row r="58" ht="14.25" customHeight="1">
      <c r="A58" s="1"/>
    </row>
    <row r="59" ht="14.25" customHeight="1">
      <c r="A59" s="1"/>
    </row>
    <row r="60" ht="14.25" customHeight="1">
      <c r="A60" s="1"/>
    </row>
    <row r="61" ht="14.25" customHeight="1">
      <c r="A61" s="1"/>
    </row>
    <row r="62" ht="14.25" customHeight="1">
      <c r="A62" s="1"/>
    </row>
    <row r="63" ht="14.25" customHeight="1">
      <c r="A63" s="1"/>
    </row>
    <row r="64" ht="14.25" customHeight="1">
      <c r="A64" s="1"/>
    </row>
    <row r="65" ht="14.25" customHeight="1">
      <c r="A65" s="1"/>
    </row>
    <row r="66" ht="14.25" customHeight="1">
      <c r="A66" s="1"/>
    </row>
    <row r="67" ht="14.25" customHeight="1">
      <c r="A67" s="1"/>
    </row>
    <row r="68" ht="14.25" customHeight="1">
      <c r="A68" s="1"/>
    </row>
    <row r="69" ht="14.25" customHeight="1">
      <c r="A69" s="1"/>
    </row>
    <row r="70" ht="14.25" customHeight="1">
      <c r="A70" s="1"/>
    </row>
    <row r="71" ht="14.25" customHeight="1">
      <c r="A71" s="1"/>
    </row>
    <row r="72" ht="14.25" customHeight="1">
      <c r="A72" s="1"/>
    </row>
    <row r="73" ht="14.25" customHeight="1">
      <c r="A73" s="1"/>
    </row>
    <row r="74" ht="14.25" customHeight="1">
      <c r="A74" s="1"/>
    </row>
    <row r="75" ht="14.25" customHeight="1">
      <c r="A75" s="1"/>
    </row>
    <row r="76" ht="14.25" customHeight="1">
      <c r="A76" s="1"/>
    </row>
    <row r="77" ht="14.25" customHeight="1">
      <c r="A77" s="1"/>
    </row>
    <row r="78" ht="14.25" customHeight="1">
      <c r="A78" s="1"/>
    </row>
    <row r="79" ht="14.25" customHeight="1">
      <c r="A79" s="1"/>
    </row>
    <row r="80" ht="14.25" customHeight="1">
      <c r="A80" s="1"/>
    </row>
    <row r="81" ht="14.25" customHeight="1">
      <c r="A81" s="1"/>
    </row>
    <row r="82" ht="14.25" customHeight="1">
      <c r="A82" s="1"/>
    </row>
    <row r="83" ht="14.25" customHeight="1">
      <c r="A83" s="1"/>
    </row>
    <row r="84" ht="14.25" customHeight="1">
      <c r="A84" s="1"/>
    </row>
    <row r="85" ht="14.25" customHeight="1">
      <c r="A85" s="1"/>
    </row>
    <row r="86" ht="14.25" customHeight="1">
      <c r="A86" s="1"/>
    </row>
    <row r="87" ht="14.25" customHeight="1">
      <c r="A87" s="1"/>
    </row>
    <row r="88" ht="14.25" customHeight="1">
      <c r="A88" s="1"/>
    </row>
    <row r="89" ht="14.25" customHeight="1">
      <c r="A89" s="1"/>
    </row>
    <row r="90" ht="14.25" customHeight="1">
      <c r="A90" s="1"/>
    </row>
    <row r="91" ht="14.25" customHeight="1">
      <c r="A91" s="1"/>
    </row>
    <row r="92" ht="14.25" customHeight="1">
      <c r="A92" s="1"/>
    </row>
    <row r="93" ht="14.25" customHeight="1">
      <c r="A93" s="1"/>
    </row>
    <row r="94" ht="14.25" customHeight="1">
      <c r="A94" s="1"/>
    </row>
    <row r="95" ht="14.25" customHeight="1">
      <c r="A95" s="1"/>
    </row>
    <row r="96" ht="14.25" customHeight="1">
      <c r="A96" s="1"/>
    </row>
    <row r="97" ht="14.25" customHeight="1">
      <c r="A97" s="1"/>
    </row>
    <row r="98" ht="14.25" customHeight="1">
      <c r="A98" s="1"/>
    </row>
    <row r="99" ht="14.25" customHeight="1">
      <c r="A99" s="1"/>
    </row>
    <row r="100" ht="14.25" customHeight="1">
      <c r="A100" s="1"/>
    </row>
    <row r="101" ht="14.25" customHeight="1">
      <c r="A101" s="1"/>
    </row>
    <row r="102" ht="14.25" customHeight="1">
      <c r="A102" s="1"/>
    </row>
    <row r="103" ht="14.25" customHeight="1">
      <c r="A103" s="1"/>
    </row>
    <row r="104" ht="14.25" customHeight="1">
      <c r="A104" s="1"/>
    </row>
    <row r="105" ht="14.25" customHeight="1">
      <c r="A105" s="1"/>
    </row>
    <row r="106" ht="14.25" customHeight="1">
      <c r="A106" s="1"/>
    </row>
    <row r="107" ht="14.25" customHeight="1">
      <c r="A107" s="1"/>
    </row>
    <row r="108" ht="14.25" customHeight="1">
      <c r="A108" s="1"/>
    </row>
    <row r="109" ht="14.25" customHeight="1">
      <c r="A109" s="1"/>
    </row>
    <row r="110" ht="14.25" customHeight="1">
      <c r="A110" s="1"/>
    </row>
    <row r="111" ht="14.25" customHeight="1">
      <c r="A111" s="1"/>
    </row>
    <row r="112" ht="14.25" customHeight="1">
      <c r="A112" s="1"/>
    </row>
    <row r="113" ht="14.25" customHeight="1">
      <c r="A113" s="1"/>
    </row>
    <row r="114" ht="14.25" customHeight="1">
      <c r="A114" s="1"/>
    </row>
    <row r="115" ht="14.25" customHeight="1">
      <c r="A115" s="1"/>
    </row>
    <row r="116" ht="14.25" customHeight="1">
      <c r="A116" s="1"/>
    </row>
    <row r="117" ht="14.25" customHeight="1">
      <c r="A117" s="1"/>
    </row>
    <row r="118" ht="14.25" customHeight="1">
      <c r="A118" s="1"/>
    </row>
    <row r="119" ht="14.25" customHeight="1">
      <c r="A119" s="1"/>
    </row>
    <row r="120" ht="14.25" customHeight="1">
      <c r="A120" s="1"/>
    </row>
    <row r="121" ht="14.25" customHeight="1">
      <c r="A121" s="1"/>
    </row>
    <row r="122" ht="14.25" customHeight="1">
      <c r="A122" s="1"/>
    </row>
    <row r="123" ht="14.25" customHeight="1">
      <c r="A123" s="1"/>
    </row>
    <row r="124" ht="14.25" customHeight="1">
      <c r="A124" s="1"/>
    </row>
    <row r="125" ht="14.25" customHeight="1">
      <c r="A125" s="1"/>
    </row>
    <row r="126" ht="14.25" customHeight="1">
      <c r="A126" s="1"/>
    </row>
    <row r="127" ht="14.25" customHeight="1">
      <c r="A127" s="1"/>
    </row>
    <row r="128" ht="14.25" customHeight="1">
      <c r="A128" s="1"/>
    </row>
    <row r="129" ht="14.25" customHeight="1">
      <c r="A129" s="1"/>
    </row>
    <row r="130" ht="14.25" customHeight="1">
      <c r="A130" s="1"/>
    </row>
    <row r="131" ht="14.25" customHeight="1">
      <c r="A131" s="1"/>
    </row>
    <row r="132" ht="14.25" customHeight="1">
      <c r="A132" s="1"/>
    </row>
    <row r="133" ht="14.25" customHeight="1">
      <c r="A133" s="1"/>
    </row>
    <row r="134" ht="14.25" customHeight="1">
      <c r="A134" s="1"/>
    </row>
    <row r="135" ht="14.25" customHeight="1">
      <c r="A135" s="1"/>
    </row>
    <row r="136" ht="14.25" customHeight="1">
      <c r="A136" s="1"/>
    </row>
    <row r="137" ht="14.25" customHeight="1">
      <c r="A137" s="1"/>
    </row>
    <row r="138" ht="14.25" customHeight="1">
      <c r="A138" s="1"/>
    </row>
    <row r="139" ht="14.25" customHeight="1">
      <c r="A139" s="1"/>
    </row>
    <row r="140" ht="14.25" customHeight="1">
      <c r="A140" s="1"/>
    </row>
    <row r="141" ht="14.25" customHeight="1">
      <c r="A141" s="1"/>
    </row>
    <row r="142" ht="14.25" customHeight="1">
      <c r="A142" s="1"/>
    </row>
    <row r="143" ht="14.25" customHeight="1">
      <c r="A143" s="1"/>
    </row>
    <row r="144" ht="14.25" customHeight="1">
      <c r="A144" s="1"/>
    </row>
    <row r="145" ht="14.25" customHeight="1">
      <c r="A145" s="1"/>
    </row>
    <row r="146" ht="14.25" customHeight="1">
      <c r="A146" s="1"/>
    </row>
    <row r="147" ht="14.25" customHeight="1">
      <c r="A147" s="1"/>
    </row>
    <row r="148" ht="14.25" customHeight="1">
      <c r="A148" s="1"/>
    </row>
    <row r="149" ht="14.25" customHeight="1">
      <c r="A149" s="1"/>
    </row>
    <row r="150" ht="14.25" customHeight="1">
      <c r="A150" s="1"/>
    </row>
    <row r="151" ht="14.25" customHeight="1">
      <c r="A151" s="1"/>
    </row>
    <row r="152" ht="14.25" customHeight="1">
      <c r="A152" s="1"/>
    </row>
    <row r="153" ht="14.25" customHeight="1">
      <c r="A153" s="1"/>
    </row>
    <row r="154" ht="14.25" customHeight="1">
      <c r="A154" s="1"/>
    </row>
    <row r="155" ht="14.25" customHeight="1">
      <c r="A155" s="1"/>
    </row>
    <row r="156" ht="14.25" customHeight="1">
      <c r="A156" s="1"/>
    </row>
    <row r="157" ht="14.25" customHeight="1">
      <c r="A157" s="1"/>
    </row>
    <row r="158" ht="14.25" customHeight="1">
      <c r="A158" s="1"/>
    </row>
    <row r="159" ht="14.25" customHeight="1">
      <c r="A159" s="1"/>
    </row>
    <row r="160" ht="14.25" customHeight="1">
      <c r="A160" s="1"/>
    </row>
    <row r="161" ht="14.25" customHeight="1">
      <c r="A161" s="1"/>
    </row>
    <row r="162" ht="14.25" customHeight="1">
      <c r="A162" s="1"/>
    </row>
  </sheetData>
  <sheetProtection/>
  <printOptions/>
  <pageMargins left="0.75" right="0" top="1" bottom="1" header="0.75" footer="0.5"/>
  <pageSetup fitToWidth="3" horizontalDpi="300" verticalDpi="300" orientation="landscape" scale="55" r:id="rId4"/>
  <headerFooter alignWithMargins="0">
    <oddFooter>&amp;L&amp;G&amp;C&amp;"Arial,Bold"&amp;11Three Year Projected Pre-Tax Statement of Revenues and Expenses Under Hypothetical Assumptions in Exhibit 1
For management use only. Actual results will likely vary from projections.
Page &amp;P</oddFooter>
  </headerFooter>
  <colBreaks count="2" manualBreakCount="2">
    <brk id="19" min="1" max="45" man="1"/>
    <brk id="32" min="1" max="45" man="1"/>
  </col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2"/>
  <sheetViews>
    <sheetView workbookViewId="0" topLeftCell="A1">
      <selection activeCell="H33" sqref="H33"/>
    </sheetView>
  </sheetViews>
  <sheetFormatPr defaultColWidth="9.140625" defaultRowHeight="14.25" customHeight="1"/>
  <cols>
    <col min="1" max="1" width="3.140625" style="9" customWidth="1"/>
    <col min="2" max="2" width="4.7109375" style="9" customWidth="1"/>
    <col min="3" max="3" width="4.57421875" style="9" customWidth="1"/>
    <col min="4" max="4" width="9.00390625" style="9" customWidth="1"/>
    <col min="5" max="5" width="9.140625" style="9" customWidth="1"/>
    <col min="6" max="6" width="3.421875" style="9" customWidth="1"/>
    <col min="7" max="7" width="14.8515625" style="9" customWidth="1"/>
    <col min="8" max="8" width="16.28125" style="9" customWidth="1"/>
    <col min="9" max="10" width="13.57421875" style="9" bestFit="1" customWidth="1"/>
    <col min="11" max="11" width="13.8515625" style="9" customWidth="1"/>
    <col min="12" max="32" width="12.7109375" style="9" bestFit="1" customWidth="1"/>
    <col min="33" max="44" width="12.7109375" style="9" customWidth="1"/>
    <col min="45" max="16384" width="9.140625" style="9" customWidth="1"/>
  </cols>
  <sheetData>
    <row r="1" spans="1:7" ht="14.25" customHeight="1">
      <c r="A1" s="71" t="str">
        <f>Assumptions!C5</f>
        <v>Sample Company</v>
      </c>
      <c r="G1" s="70"/>
    </row>
    <row r="2" spans="1:9" ht="14.25" customHeight="1">
      <c r="A2" s="12"/>
      <c r="B2" s="78"/>
      <c r="G2" s="42"/>
      <c r="I2" s="15"/>
    </row>
    <row r="3" spans="1:44" ht="14.25" customHeight="1">
      <c r="A3" s="12"/>
      <c r="G3" s="43"/>
      <c r="I3" s="54" t="s">
        <v>21</v>
      </c>
      <c r="J3" s="111" t="s">
        <v>21</v>
      </c>
      <c r="K3" s="111" t="s">
        <v>21</v>
      </c>
      <c r="L3" s="111" t="s">
        <v>21</v>
      </c>
      <c r="M3" s="111" t="s">
        <v>21</v>
      </c>
      <c r="N3" s="111" t="s">
        <v>21</v>
      </c>
      <c r="O3" s="111" t="s">
        <v>21</v>
      </c>
      <c r="P3" s="111" t="s">
        <v>21</v>
      </c>
      <c r="Q3" s="111" t="s">
        <v>21</v>
      </c>
      <c r="R3" s="111" t="s">
        <v>21</v>
      </c>
      <c r="S3" s="111" t="s">
        <v>21</v>
      </c>
      <c r="T3" s="111" t="s">
        <v>21</v>
      </c>
      <c r="U3" s="111" t="s">
        <v>21</v>
      </c>
      <c r="V3" s="111" t="s">
        <v>21</v>
      </c>
      <c r="W3" s="111" t="s">
        <v>21</v>
      </c>
      <c r="X3" s="111" t="s">
        <v>21</v>
      </c>
      <c r="Y3" s="111" t="s">
        <v>21</v>
      </c>
      <c r="Z3" s="111" t="s">
        <v>21</v>
      </c>
      <c r="AA3" s="111" t="s">
        <v>21</v>
      </c>
      <c r="AB3" s="111" t="s">
        <v>21</v>
      </c>
      <c r="AC3" s="111" t="s">
        <v>21</v>
      </c>
      <c r="AD3" s="111" t="s">
        <v>21</v>
      </c>
      <c r="AE3" s="111" t="s">
        <v>21</v>
      </c>
      <c r="AF3" s="111" t="s">
        <v>21</v>
      </c>
      <c r="AG3" s="111" t="s">
        <v>21</v>
      </c>
      <c r="AH3" s="111" t="s">
        <v>21</v>
      </c>
      <c r="AI3" s="111" t="s">
        <v>21</v>
      </c>
      <c r="AJ3" s="111" t="s">
        <v>21</v>
      </c>
      <c r="AK3" s="111" t="s">
        <v>21</v>
      </c>
      <c r="AL3" s="111" t="s">
        <v>21</v>
      </c>
      <c r="AM3" s="111" t="s">
        <v>21</v>
      </c>
      <c r="AN3" s="111" t="s">
        <v>21</v>
      </c>
      <c r="AO3" s="111" t="s">
        <v>21</v>
      </c>
      <c r="AP3" s="111" t="s">
        <v>21</v>
      </c>
      <c r="AQ3" s="111" t="s">
        <v>21</v>
      </c>
      <c r="AR3" s="111" t="s">
        <v>21</v>
      </c>
    </row>
    <row r="4" spans="1:44" ht="14.25" customHeight="1" thickBot="1">
      <c r="A4" s="12"/>
      <c r="B4" s="11" t="s">
        <v>10</v>
      </c>
      <c r="C4" s="11"/>
      <c r="D4" s="11"/>
      <c r="G4" s="44"/>
      <c r="I4" s="45" t="s">
        <v>22</v>
      </c>
      <c r="J4" s="45" t="s">
        <v>23</v>
      </c>
      <c r="K4" s="45" t="s">
        <v>24</v>
      </c>
      <c r="L4" s="45" t="s">
        <v>25</v>
      </c>
      <c r="M4" s="45" t="s">
        <v>26</v>
      </c>
      <c r="N4" s="45" t="s">
        <v>27</v>
      </c>
      <c r="O4" s="45" t="s">
        <v>28</v>
      </c>
      <c r="P4" s="45" t="s">
        <v>29</v>
      </c>
      <c r="Q4" s="45" t="s">
        <v>30</v>
      </c>
      <c r="R4" s="45" t="s">
        <v>31</v>
      </c>
      <c r="S4" s="45" t="s">
        <v>32</v>
      </c>
      <c r="T4" s="45" t="s">
        <v>33</v>
      </c>
      <c r="U4" s="45" t="s">
        <v>34</v>
      </c>
      <c r="V4" s="45" t="s">
        <v>35</v>
      </c>
      <c r="W4" s="45" t="s">
        <v>36</v>
      </c>
      <c r="X4" s="45" t="s">
        <v>37</v>
      </c>
      <c r="Y4" s="45" t="s">
        <v>38</v>
      </c>
      <c r="Z4" s="45" t="s">
        <v>39</v>
      </c>
      <c r="AA4" s="45" t="s">
        <v>40</v>
      </c>
      <c r="AB4" s="45" t="s">
        <v>41</v>
      </c>
      <c r="AC4" s="45" t="s">
        <v>42</v>
      </c>
      <c r="AD4" s="45" t="s">
        <v>43</v>
      </c>
      <c r="AE4" s="45" t="s">
        <v>44</v>
      </c>
      <c r="AF4" s="45" t="s">
        <v>45</v>
      </c>
      <c r="AG4" s="45" t="s">
        <v>208</v>
      </c>
      <c r="AH4" s="45" t="s">
        <v>209</v>
      </c>
      <c r="AI4" s="45" t="s">
        <v>210</v>
      </c>
      <c r="AJ4" s="45" t="s">
        <v>211</v>
      </c>
      <c r="AK4" s="45" t="s">
        <v>212</v>
      </c>
      <c r="AL4" s="45" t="s">
        <v>213</v>
      </c>
      <c r="AM4" s="45" t="s">
        <v>214</v>
      </c>
      <c r="AN4" s="45" t="s">
        <v>215</v>
      </c>
      <c r="AO4" s="45" t="s">
        <v>216</v>
      </c>
      <c r="AP4" s="45" t="s">
        <v>217</v>
      </c>
      <c r="AQ4" s="45" t="s">
        <v>218</v>
      </c>
      <c r="AR4" s="45" t="s">
        <v>219</v>
      </c>
    </row>
    <row r="5" spans="1:44" ht="14.25" customHeight="1">
      <c r="A5" s="12"/>
      <c r="B5" s="11"/>
      <c r="C5" s="11" t="s">
        <v>17</v>
      </c>
      <c r="D5" s="11"/>
      <c r="G5" s="44"/>
      <c r="I5" s="47">
        <f>ROUND('IS 36-month Projection'!G44,0)</f>
        <v>53740</v>
      </c>
      <c r="J5" s="112">
        <f>ROUND('IS 36-month Projection'!H44+I5,0)</f>
        <v>108865</v>
      </c>
      <c r="K5" s="112">
        <f>ROUND('IS 36-month Projection'!I44+J5,0)</f>
        <v>163964</v>
      </c>
      <c r="L5" s="112">
        <f>ROUND('IS 36-month Projection'!J44+K5,0)</f>
        <v>216660</v>
      </c>
      <c r="M5" s="112">
        <f>ROUND('IS 36-month Projection'!K44+L5,0)</f>
        <v>264919</v>
      </c>
      <c r="N5" s="112">
        <f>ROUND('IS 36-month Projection'!L44+M5,0)</f>
        <v>309922</v>
      </c>
      <c r="O5" s="112">
        <f>ROUND('IS 36-month Projection'!M44+N5,0)</f>
        <v>351475</v>
      </c>
      <c r="P5" s="112">
        <f>ROUND('IS 36-month Projection'!N44+O5,0)</f>
        <v>388732</v>
      </c>
      <c r="Q5" s="112">
        <f>ROUND('IS 36-month Projection'!O44+P5,0)</f>
        <v>422594</v>
      </c>
      <c r="R5" s="112">
        <f>ROUND('IS 36-month Projection'!P44+Q5,0)</f>
        <v>453328</v>
      </c>
      <c r="S5" s="112">
        <f>ROUND('IS 36-month Projection'!Q44+R5,0)</f>
        <v>481993</v>
      </c>
      <c r="T5" s="112">
        <f>ROUND('IS 36-month Projection'!R44+S5,0)</f>
        <v>508909</v>
      </c>
      <c r="U5" s="112">
        <f>ROUND('IS 36-month Projection'!T44,0)</f>
        <v>25791</v>
      </c>
      <c r="V5" s="112">
        <f>ROUND('IS 36-month Projection'!U44+U5,0)</f>
        <v>51138</v>
      </c>
      <c r="W5" s="112">
        <f>ROUND('IS 36-month Projection'!V44+V5,0)</f>
        <v>75691</v>
      </c>
      <c r="X5" s="112">
        <f>ROUND('IS 36-month Projection'!W44+W5,0)</f>
        <v>99841</v>
      </c>
      <c r="Y5" s="112">
        <f>ROUND('IS 36-month Projection'!X44+X5,0)</f>
        <v>123868</v>
      </c>
      <c r="Z5" s="112">
        <f>ROUND('IS 36-month Projection'!Y44+Y5,0)</f>
        <v>147676</v>
      </c>
      <c r="AA5" s="112">
        <f>ROUND('IS 36-month Projection'!Z44+Z5,0)</f>
        <v>171877</v>
      </c>
      <c r="AB5" s="112">
        <f>ROUND('IS 36-month Projection'!AA44+AA5,0)</f>
        <v>196430</v>
      </c>
      <c r="AC5" s="112">
        <f>ROUND('IS 36-month Projection'!AB44+AB5,0)</f>
        <v>221205</v>
      </c>
      <c r="AD5" s="112">
        <f>ROUND('IS 36-month Projection'!AC44+AC5,0)</f>
        <v>246459</v>
      </c>
      <c r="AE5" s="112">
        <f>ROUND('IS 36-month Projection'!AD44+AD5,0)</f>
        <v>272141</v>
      </c>
      <c r="AF5" s="112">
        <f>ROUND('IS 36-month Projection'!AE44+AE5,0)-1</f>
        <v>298410</v>
      </c>
      <c r="AG5" s="112">
        <f>ROUND('IS 36-month Projection'!AG44,0)</f>
        <v>26831</v>
      </c>
      <c r="AH5" s="112">
        <f>ROUND('IS 36-month Projection'!AH44+AG5,0)</f>
        <v>54230</v>
      </c>
      <c r="AI5" s="112">
        <f>ROUND('IS 36-month Projection'!AI44+AH5,0)</f>
        <v>82204</v>
      </c>
      <c r="AJ5" s="112">
        <f>ROUND('IS 36-month Projection'!AJ44+AI5,0)</f>
        <v>110641</v>
      </c>
      <c r="AK5" s="112">
        <f>ROUND('IS 36-month Projection'!AK44+AJ5,0)</f>
        <v>139538</v>
      </c>
      <c r="AL5" s="112">
        <f>ROUND('IS 36-month Projection'!AL44+AK5,0)</f>
        <v>168924</v>
      </c>
      <c r="AM5" s="112">
        <f>ROUND('IS 36-month Projection'!AM44+AL5,0)</f>
        <v>198747</v>
      </c>
      <c r="AN5" s="112">
        <f>ROUND('IS 36-month Projection'!AN44+AM5,0)</f>
        <v>228989</v>
      </c>
      <c r="AO5" s="112">
        <f>ROUND('IS 36-month Projection'!AO44+AN5,0)</f>
        <v>259636</v>
      </c>
      <c r="AP5" s="112">
        <f>ROUND('IS 36-month Projection'!AP44+AO5,0)</f>
        <v>290643</v>
      </c>
      <c r="AQ5" s="112">
        <f>ROUND('IS 36-month Projection'!AQ44+AP5,0)</f>
        <v>321963</v>
      </c>
      <c r="AR5" s="112">
        <f>ROUND('IS 36-month Projection'!AR44+AQ5,0)</f>
        <v>353549</v>
      </c>
    </row>
    <row r="6" spans="1:44" ht="14.25" customHeight="1">
      <c r="A6" s="12"/>
      <c r="B6" s="11"/>
      <c r="C6" s="11" t="s">
        <v>11</v>
      </c>
      <c r="D6" s="11"/>
      <c r="G6" s="48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:44" ht="14.25" customHeight="1">
      <c r="A7" s="12"/>
      <c r="B7" s="11"/>
      <c r="C7" s="11" t="s">
        <v>12</v>
      </c>
      <c r="D7" s="11"/>
      <c r="G7" s="48"/>
      <c r="H7" s="49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44" ht="14.25" customHeight="1">
      <c r="A8" s="12"/>
      <c r="B8" s="11"/>
      <c r="C8" s="11"/>
      <c r="D8" s="11" t="s">
        <v>64</v>
      </c>
      <c r="G8" s="48"/>
      <c r="H8" s="49"/>
      <c r="I8" s="28">
        <f>'BS 36-month Projection'!F8-'BS 36-month Projection'!G8</f>
        <v>-221406</v>
      </c>
      <c r="J8" s="28">
        <f>'BS 36-month Projection'!F8-'BS 36-month Projection'!H8</f>
        <v>-438402</v>
      </c>
      <c r="K8" s="28">
        <f>'BS 36-month Projection'!F8-'BS 36-month Projection'!I8</f>
        <v>-649271</v>
      </c>
      <c r="L8" s="28">
        <f>'BS 36-month Projection'!F8-'BS 36-month Projection'!J8</f>
        <v>-852438</v>
      </c>
      <c r="M8" s="28">
        <f>'BS 36-month Projection'!F8-'BS 36-month Projection'!K8</f>
        <v>-1046071</v>
      </c>
      <c r="N8" s="28">
        <f>'BS 36-month Projection'!F8-'BS 36-month Projection'!L8</f>
        <v>-1231318</v>
      </c>
      <c r="O8" s="28">
        <f>'BS 36-month Projection'!F8-'BS 36-month Projection'!M8</f>
        <v>-1407947</v>
      </c>
      <c r="P8" s="28">
        <f>'BS 36-month Projection'!F8-'BS 36-month Projection'!N8</f>
        <v>-1575083</v>
      </c>
      <c r="Q8" s="28">
        <f>'BS 36-month Projection'!F8-'BS 36-month Projection'!O8</f>
        <v>-1733588</v>
      </c>
      <c r="R8" s="28">
        <f>'BS 36-month Projection'!F8-'BS 36-month Projection'!P8</f>
        <v>-1883696</v>
      </c>
      <c r="S8" s="28">
        <f>'BS 36-month Projection'!F8-'BS 36-month Projection'!Q8</f>
        <v>-2026429</v>
      </c>
      <c r="T8" s="28">
        <f>'BS 36-month Projection'!F8-'BS 36-month Projection'!R8</f>
        <v>-2162074</v>
      </c>
      <c r="U8" s="28">
        <f>'BS 36-month Projection'!$R$8-'BS 36-month Projection'!S8</f>
        <v>-129145</v>
      </c>
      <c r="V8" s="28">
        <f>'BS 36-month Projection'!$R$8-'BS 36-month Projection'!T8</f>
        <v>-252434</v>
      </c>
      <c r="W8" s="28">
        <f>'BS 36-month Projection'!$R$8-'BS 36-month Projection'!U8</f>
        <v>-369482</v>
      </c>
      <c r="X8" s="28">
        <f>'BS 36-month Projection'!$R$8-'BS 36-month Projection'!V8</f>
        <v>-480643</v>
      </c>
      <c r="Y8" s="28">
        <f>'BS 36-month Projection'!$R$8-'BS 36-month Projection'!W8</f>
        <v>-586159</v>
      </c>
      <c r="Z8" s="28">
        <f>'BS 36-month Projection'!$R$8-'BS 36-month Projection'!X8</f>
        <v>-685900</v>
      </c>
      <c r="AA8" s="28">
        <f>'BS 36-month Projection'!$R$8-'BS 36-month Projection'!Y8</f>
        <v>-780440</v>
      </c>
      <c r="AB8" s="28">
        <f>'BS 36-month Projection'!$R$8-'BS 36-month Projection'!Z8</f>
        <v>-869699</v>
      </c>
      <c r="AC8" s="28">
        <f>'BS 36-month Projection'!$R$8-'BS 36-month Projection'!AA8</f>
        <v>-953512</v>
      </c>
      <c r="AD8" s="28">
        <f>'BS 36-month Projection'!$R$8-'BS 36-month Projection'!AB8</f>
        <v>-1032097</v>
      </c>
      <c r="AE8" s="28">
        <f>'BS 36-month Projection'!$R$8-'BS 36-month Projection'!AC8</f>
        <v>-1105365</v>
      </c>
      <c r="AF8" s="28">
        <f>'BS 36-month Projection'!$R$8-'BS 36-month Projection'!AD8</f>
        <v>-1173438</v>
      </c>
      <c r="AG8" s="28">
        <f>'BS 36-month Projection'!$AD$8-'BS 36-month Projection'!AE8</f>
        <v>-62812</v>
      </c>
      <c r="AH8" s="28">
        <f>'BS 36-month Projection'!$AD$8-'BS 36-month Projection'!AF8</f>
        <v>-120331</v>
      </c>
      <c r="AI8" s="28">
        <f>'BS 36-month Projection'!$AD$8-'BS 36-month Projection'!AG8</f>
        <v>-172525</v>
      </c>
      <c r="AJ8" s="28">
        <f>'BS 36-month Projection'!$AD$8-'BS 36-month Projection'!AH8</f>
        <v>-219243</v>
      </c>
      <c r="AK8" s="28">
        <f>'BS 36-month Projection'!$AD$8-'BS 36-month Projection'!AI8</f>
        <v>-260442</v>
      </c>
      <c r="AL8" s="28">
        <f>'BS 36-month Projection'!$AD$8-'BS 36-month Projection'!AJ8</f>
        <v>-296112</v>
      </c>
      <c r="AM8" s="28">
        <f>'BS 36-month Projection'!$AD$8-'BS 36-month Projection'!AK8</f>
        <v>-326161</v>
      </c>
      <c r="AN8" s="28">
        <f>'BS 36-month Projection'!$AD$8-'BS 36-month Projection'!AL8</f>
        <v>-350530</v>
      </c>
      <c r="AO8" s="28">
        <f>'BS 36-month Projection'!$AD$8-'BS 36-month Projection'!AM8</f>
        <v>-369164</v>
      </c>
      <c r="AP8" s="28">
        <f>'BS 36-month Projection'!$AD$8-'BS 36-month Projection'!AN8</f>
        <v>-381977</v>
      </c>
      <c r="AQ8" s="28">
        <f>'BS 36-month Projection'!$AD$8-'BS 36-month Projection'!AO8</f>
        <v>-388882</v>
      </c>
      <c r="AR8" s="28">
        <f>'BS 36-month Projection'!$AD$8-'BS 36-month Projection'!AP8</f>
        <v>-389781</v>
      </c>
    </row>
    <row r="9" spans="1:44" ht="14.25" customHeight="1">
      <c r="A9" s="12"/>
      <c r="B9" s="11"/>
      <c r="C9" s="11"/>
      <c r="D9" s="11" t="s">
        <v>238</v>
      </c>
      <c r="G9" s="48"/>
      <c r="H9" s="49"/>
      <c r="I9" s="28">
        <f>'BS 36-month Projection'!$F$9-'BS 36-month Projection'!G9</f>
        <v>0</v>
      </c>
      <c r="J9" s="28">
        <f>'BS 36-month Projection'!$F$9-'BS 36-month Projection'!H9</f>
        <v>0</v>
      </c>
      <c r="K9" s="28">
        <f>'BS 36-month Projection'!$F$9-'BS 36-month Projection'!I9</f>
        <v>0</v>
      </c>
      <c r="L9" s="28">
        <f>'BS 36-month Projection'!$F$9-'BS 36-month Projection'!J9</f>
        <v>0</v>
      </c>
      <c r="M9" s="28">
        <f>'BS 36-month Projection'!$F$9-'BS 36-month Projection'!K9</f>
        <v>0</v>
      </c>
      <c r="N9" s="28">
        <f>'BS 36-month Projection'!$F$9-'BS 36-month Projection'!L9</f>
        <v>0</v>
      </c>
      <c r="O9" s="28">
        <f>'BS 36-month Projection'!$F$9-'BS 36-month Projection'!M9</f>
        <v>0</v>
      </c>
      <c r="P9" s="28">
        <f>'BS 36-month Projection'!$F$9-'BS 36-month Projection'!N9</f>
        <v>0</v>
      </c>
      <c r="Q9" s="28">
        <f>'BS 36-month Projection'!$F$9-'BS 36-month Projection'!O9</f>
        <v>0</v>
      </c>
      <c r="R9" s="28">
        <f>'BS 36-month Projection'!$F$9-'BS 36-month Projection'!P9</f>
        <v>0</v>
      </c>
      <c r="S9" s="28">
        <f>'BS 36-month Projection'!$F$9-'BS 36-month Projection'!Q9</f>
        <v>0</v>
      </c>
      <c r="T9" s="28">
        <f>'BS 36-month Projection'!$F$9-'BS 36-month Projection'!R9</f>
        <v>0</v>
      </c>
      <c r="U9" s="28">
        <f>'BS 36-month Projection'!$R$9-'BS 36-month Projection'!S9</f>
        <v>0</v>
      </c>
      <c r="V9" s="28">
        <f>'BS 36-month Projection'!$R$9-'BS 36-month Projection'!T9</f>
        <v>0</v>
      </c>
      <c r="W9" s="28">
        <f>'BS 36-month Projection'!$R$9-'BS 36-month Projection'!U9</f>
        <v>0</v>
      </c>
      <c r="X9" s="28">
        <f>'BS 36-month Projection'!$R$9-'BS 36-month Projection'!V9</f>
        <v>0</v>
      </c>
      <c r="Y9" s="28">
        <f>'BS 36-month Projection'!$R$9-'BS 36-month Projection'!W9</f>
        <v>0</v>
      </c>
      <c r="Z9" s="28">
        <f>'BS 36-month Projection'!$R$9-'BS 36-month Projection'!X9</f>
        <v>0</v>
      </c>
      <c r="AA9" s="28">
        <f>'BS 36-month Projection'!$R$9-'BS 36-month Projection'!Y9</f>
        <v>0</v>
      </c>
      <c r="AB9" s="28">
        <f>'BS 36-month Projection'!$R$9-'BS 36-month Projection'!Z9</f>
        <v>0</v>
      </c>
      <c r="AC9" s="28">
        <f>'BS 36-month Projection'!$R$9-'BS 36-month Projection'!AA9</f>
        <v>0</v>
      </c>
      <c r="AD9" s="28">
        <f>'BS 36-month Projection'!$R$9-'BS 36-month Projection'!AB9</f>
        <v>0</v>
      </c>
      <c r="AE9" s="28">
        <f>'BS 36-month Projection'!$R$9-'BS 36-month Projection'!AC9</f>
        <v>0</v>
      </c>
      <c r="AF9" s="28">
        <f>'BS 36-month Projection'!$R$9-'BS 36-month Projection'!AD9</f>
        <v>0</v>
      </c>
      <c r="AG9" s="28">
        <f>'BS 36-month Projection'!$AD$9-'BS 36-month Projection'!AE9</f>
        <v>0</v>
      </c>
      <c r="AH9" s="28">
        <f>'BS 36-month Projection'!$AD$9-'BS 36-month Projection'!AF9</f>
        <v>0</v>
      </c>
      <c r="AI9" s="28">
        <f>'BS 36-month Projection'!$AD$9-'BS 36-month Projection'!AG9</f>
        <v>0</v>
      </c>
      <c r="AJ9" s="28">
        <f>'BS 36-month Projection'!$AD$9-'BS 36-month Projection'!AH9</f>
        <v>0</v>
      </c>
      <c r="AK9" s="28">
        <f>'BS 36-month Projection'!$AD$9-'BS 36-month Projection'!AI9</f>
        <v>0</v>
      </c>
      <c r="AL9" s="28">
        <f>'BS 36-month Projection'!$AD$9-'BS 36-month Projection'!AJ9</f>
        <v>0</v>
      </c>
      <c r="AM9" s="28">
        <f>'BS 36-month Projection'!$AD$9-'BS 36-month Projection'!AK9</f>
        <v>0</v>
      </c>
      <c r="AN9" s="28">
        <f>'BS 36-month Projection'!$AD$9-'BS 36-month Projection'!AL9</f>
        <v>0</v>
      </c>
      <c r="AO9" s="28">
        <f>'BS 36-month Projection'!$AD$9-'BS 36-month Projection'!AM9</f>
        <v>0</v>
      </c>
      <c r="AP9" s="28">
        <f>'BS 36-month Projection'!$AD$9-'BS 36-month Projection'!AN9</f>
        <v>0</v>
      </c>
      <c r="AQ9" s="28">
        <f>'BS 36-month Projection'!$AD$9-'BS 36-month Projection'!AO9</f>
        <v>0</v>
      </c>
      <c r="AR9" s="28">
        <f>'BS 36-month Projection'!$AD$9-'BS 36-month Projection'!AP9</f>
        <v>0</v>
      </c>
    </row>
    <row r="10" spans="1:44" ht="14.25" customHeight="1">
      <c r="A10" s="12"/>
      <c r="B10" s="11"/>
      <c r="C10" s="11"/>
      <c r="D10" s="11" t="s">
        <v>251</v>
      </c>
      <c r="G10" s="48"/>
      <c r="H10" s="49"/>
      <c r="I10" s="28">
        <f>-('BS 36-month Projection'!$F$13-'BS 36-month Projection'!G13)</f>
        <v>0</v>
      </c>
      <c r="J10" s="29">
        <f>-('BS 36-month Projection'!$F$13-'BS 36-month Projection'!H13)</f>
        <v>0</v>
      </c>
      <c r="K10" s="29">
        <f>-('BS 36-month Projection'!$F$13-'BS 36-month Projection'!I13)</f>
        <v>0</v>
      </c>
      <c r="L10" s="29">
        <f>-('BS 36-month Projection'!$F$13-'BS 36-month Projection'!J13)</f>
        <v>0</v>
      </c>
      <c r="M10" s="29">
        <f>-('BS 36-month Projection'!$F$13-'BS 36-month Projection'!K13)</f>
        <v>0</v>
      </c>
      <c r="N10" s="29">
        <f>-('BS 36-month Projection'!$F$13-'BS 36-month Projection'!L13)</f>
        <v>0</v>
      </c>
      <c r="O10" s="29">
        <f>-('BS 36-month Projection'!$F$13-'BS 36-month Projection'!M13)</f>
        <v>0</v>
      </c>
      <c r="P10" s="29">
        <f>-('BS 36-month Projection'!$F$13-'BS 36-month Projection'!N13)</f>
        <v>0</v>
      </c>
      <c r="Q10" s="29">
        <f>-('BS 36-month Projection'!$F$13-'BS 36-month Projection'!O13)</f>
        <v>0</v>
      </c>
      <c r="R10" s="29">
        <f>-('BS 36-month Projection'!$F$13-'BS 36-month Projection'!P13)</f>
        <v>0</v>
      </c>
      <c r="S10" s="29">
        <f>-('BS 36-month Projection'!$F$13-'BS 36-month Projection'!Q13)</f>
        <v>0</v>
      </c>
      <c r="T10" s="29">
        <f>-('BS 36-month Projection'!$F$13-'BS 36-month Projection'!R13)</f>
        <v>0</v>
      </c>
      <c r="U10" s="29">
        <f>-('BS 36-month Projection'!$R$13-'BS 36-month Projection'!S13)</f>
        <v>0</v>
      </c>
      <c r="V10" s="29">
        <f>-('BS 36-month Projection'!$R$13-'BS 36-month Projection'!T13)</f>
        <v>0</v>
      </c>
      <c r="W10" s="29">
        <f>-('BS 36-month Projection'!$R$13-'BS 36-month Projection'!U13)</f>
        <v>0</v>
      </c>
      <c r="X10" s="29">
        <f>-('BS 36-month Projection'!$R$13-'BS 36-month Projection'!V13)</f>
        <v>0</v>
      </c>
      <c r="Y10" s="29">
        <f>-('BS 36-month Projection'!$R$13-'BS 36-month Projection'!W13)</f>
        <v>0</v>
      </c>
      <c r="Z10" s="29">
        <f>-('BS 36-month Projection'!$R$13-'BS 36-month Projection'!X13)</f>
        <v>0</v>
      </c>
      <c r="AA10" s="29">
        <f>-('BS 36-month Projection'!$R$13-'BS 36-month Projection'!Y13)</f>
        <v>0</v>
      </c>
      <c r="AB10" s="29">
        <f>-('BS 36-month Projection'!$R$13-'BS 36-month Projection'!Z13)</f>
        <v>0</v>
      </c>
      <c r="AC10" s="29">
        <f>-('BS 36-month Projection'!$R$13-'BS 36-month Projection'!AA13)</f>
        <v>0</v>
      </c>
      <c r="AD10" s="29">
        <f>-('BS 36-month Projection'!$R$13-'BS 36-month Projection'!AB13)</f>
        <v>0</v>
      </c>
      <c r="AE10" s="29">
        <f>-('BS 36-month Projection'!$R$13-'BS 36-month Projection'!AC13)</f>
        <v>0</v>
      </c>
      <c r="AF10" s="29">
        <f>-('BS 36-month Projection'!$R$13-'BS 36-month Projection'!AD13)</f>
        <v>0</v>
      </c>
      <c r="AG10" s="29">
        <f>-('BS 36-month Projection'!$AD$13-'BS 36-month Projection'!AE13)</f>
        <v>0</v>
      </c>
      <c r="AH10" s="29">
        <f>-('BS 36-month Projection'!$AD$13-'BS 36-month Projection'!AF13)</f>
        <v>0</v>
      </c>
      <c r="AI10" s="29">
        <f>-('BS 36-month Projection'!$AD$13-'BS 36-month Projection'!AG13)</f>
        <v>0</v>
      </c>
      <c r="AJ10" s="29">
        <f>-('BS 36-month Projection'!$AD$13-'BS 36-month Projection'!AH13)</f>
        <v>0</v>
      </c>
      <c r="AK10" s="29">
        <f>-('BS 36-month Projection'!$AD$13-'BS 36-month Projection'!AI13)</f>
        <v>0</v>
      </c>
      <c r="AL10" s="29">
        <f>-('BS 36-month Projection'!$AD$13-'BS 36-month Projection'!AJ13)</f>
        <v>0</v>
      </c>
      <c r="AM10" s="29">
        <f>-('BS 36-month Projection'!$AD$13-'BS 36-month Projection'!AK13)</f>
        <v>0</v>
      </c>
      <c r="AN10" s="29">
        <f>-('BS 36-month Projection'!$AD$13-'BS 36-month Projection'!AL13)</f>
        <v>0</v>
      </c>
      <c r="AO10" s="29">
        <f>-('BS 36-month Projection'!$AD$13-'BS 36-month Projection'!AM13)</f>
        <v>0</v>
      </c>
      <c r="AP10" s="29">
        <f>-('BS 36-month Projection'!$AD$13-'BS 36-month Projection'!AN13)</f>
        <v>0</v>
      </c>
      <c r="AQ10" s="29">
        <f>-('BS 36-month Projection'!$AD$13-'BS 36-month Projection'!AO13)</f>
        <v>0</v>
      </c>
      <c r="AR10" s="29">
        <f>-('BS 36-month Projection'!$AD$13-'BS 36-month Projection'!AP13)</f>
        <v>0</v>
      </c>
    </row>
    <row r="11" spans="1:44" ht="14.25" customHeight="1">
      <c r="A11" s="12"/>
      <c r="B11" s="11"/>
      <c r="C11" s="11" t="s">
        <v>13</v>
      </c>
      <c r="D11" s="11"/>
      <c r="G11" s="48"/>
      <c r="I11" s="90">
        <f aca="true" t="shared" si="0" ref="I11:AR11">SUM(I5:I10)</f>
        <v>-167666</v>
      </c>
      <c r="J11" s="90">
        <f t="shared" si="0"/>
        <v>-329537</v>
      </c>
      <c r="K11" s="90">
        <f t="shared" si="0"/>
        <v>-485307</v>
      </c>
      <c r="L11" s="90">
        <f t="shared" si="0"/>
        <v>-635778</v>
      </c>
      <c r="M11" s="90">
        <f t="shared" si="0"/>
        <v>-781152</v>
      </c>
      <c r="N11" s="90">
        <f t="shared" si="0"/>
        <v>-921396</v>
      </c>
      <c r="O11" s="90">
        <f t="shared" si="0"/>
        <v>-1056472</v>
      </c>
      <c r="P11" s="90">
        <f t="shared" si="0"/>
        <v>-1186351</v>
      </c>
      <c r="Q11" s="90">
        <f t="shared" si="0"/>
        <v>-1310994</v>
      </c>
      <c r="R11" s="90">
        <f t="shared" si="0"/>
        <v>-1430368</v>
      </c>
      <c r="S11" s="90">
        <f t="shared" si="0"/>
        <v>-1544436</v>
      </c>
      <c r="T11" s="90">
        <f t="shared" si="0"/>
        <v>-1653165</v>
      </c>
      <c r="U11" s="90">
        <f t="shared" si="0"/>
        <v>-103354</v>
      </c>
      <c r="V11" s="90">
        <f t="shared" si="0"/>
        <v>-201296</v>
      </c>
      <c r="W11" s="90">
        <f t="shared" si="0"/>
        <v>-293791</v>
      </c>
      <c r="X11" s="90">
        <f t="shared" si="0"/>
        <v>-380802</v>
      </c>
      <c r="Y11" s="90">
        <f t="shared" si="0"/>
        <v>-462291</v>
      </c>
      <c r="Z11" s="90">
        <f t="shared" si="0"/>
        <v>-538224</v>
      </c>
      <c r="AA11" s="90">
        <f t="shared" si="0"/>
        <v>-608563</v>
      </c>
      <c r="AB11" s="90">
        <f t="shared" si="0"/>
        <v>-673269</v>
      </c>
      <c r="AC11" s="90">
        <f t="shared" si="0"/>
        <v>-732307</v>
      </c>
      <c r="AD11" s="90">
        <f t="shared" si="0"/>
        <v>-785638</v>
      </c>
      <c r="AE11" s="90">
        <f t="shared" si="0"/>
        <v>-833224</v>
      </c>
      <c r="AF11" s="90">
        <f t="shared" si="0"/>
        <v>-875028</v>
      </c>
      <c r="AG11" s="90">
        <f t="shared" si="0"/>
        <v>-35981</v>
      </c>
      <c r="AH11" s="90">
        <f t="shared" si="0"/>
        <v>-66101</v>
      </c>
      <c r="AI11" s="90">
        <f t="shared" si="0"/>
        <v>-90321</v>
      </c>
      <c r="AJ11" s="90">
        <f t="shared" si="0"/>
        <v>-108602</v>
      </c>
      <c r="AK11" s="90">
        <f t="shared" si="0"/>
        <v>-120904</v>
      </c>
      <c r="AL11" s="90">
        <f t="shared" si="0"/>
        <v>-127188</v>
      </c>
      <c r="AM11" s="90">
        <f t="shared" si="0"/>
        <v>-127414</v>
      </c>
      <c r="AN11" s="90">
        <f t="shared" si="0"/>
        <v>-121541</v>
      </c>
      <c r="AO11" s="90">
        <f t="shared" si="0"/>
        <v>-109528</v>
      </c>
      <c r="AP11" s="90">
        <f t="shared" si="0"/>
        <v>-91334</v>
      </c>
      <c r="AQ11" s="90">
        <f t="shared" si="0"/>
        <v>-66919</v>
      </c>
      <c r="AR11" s="90">
        <f t="shared" si="0"/>
        <v>-36232</v>
      </c>
    </row>
    <row r="12" spans="1:44" ht="14.25" customHeight="1">
      <c r="A12" s="12"/>
      <c r="B12" s="11"/>
      <c r="C12" s="11"/>
      <c r="D12" s="11"/>
      <c r="G12" s="4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14.25" customHeight="1">
      <c r="A13" s="12"/>
      <c r="B13" s="11" t="s">
        <v>14</v>
      </c>
      <c r="C13" s="11"/>
      <c r="D13" s="11"/>
      <c r="G13" s="4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14.25" customHeight="1">
      <c r="A14" s="12"/>
      <c r="B14" s="11"/>
      <c r="C14" s="11" t="s">
        <v>255</v>
      </c>
      <c r="D14" s="11"/>
      <c r="G14" s="48"/>
      <c r="I14" s="28">
        <f aca="true" t="shared" si="1" ref="I14:T14">IF((I11+I18)&lt;=10000,-(I11+I18-10000),0)</f>
        <v>0</v>
      </c>
      <c r="J14" s="29">
        <f t="shared" si="1"/>
        <v>0</v>
      </c>
      <c r="K14" s="29">
        <f t="shared" si="1"/>
        <v>120307</v>
      </c>
      <c r="L14" s="29">
        <f t="shared" si="1"/>
        <v>270778</v>
      </c>
      <c r="M14" s="29">
        <f t="shared" si="1"/>
        <v>416152</v>
      </c>
      <c r="N14" s="29">
        <f t="shared" si="1"/>
        <v>556396</v>
      </c>
      <c r="O14" s="29">
        <f t="shared" si="1"/>
        <v>691472</v>
      </c>
      <c r="P14" s="29">
        <f t="shared" si="1"/>
        <v>821351</v>
      </c>
      <c r="Q14" s="29">
        <f t="shared" si="1"/>
        <v>945994</v>
      </c>
      <c r="R14" s="29">
        <f t="shared" si="1"/>
        <v>1065368</v>
      </c>
      <c r="S14" s="29">
        <f t="shared" si="1"/>
        <v>1179436</v>
      </c>
      <c r="T14" s="29">
        <f t="shared" si="1"/>
        <v>1288165</v>
      </c>
      <c r="U14" s="29">
        <f>IF((U11+U18)&lt;=10000,-(U11+U18-10000),-MIN(-U11,'BS 36-month Projection'!$R$15))</f>
        <v>103354</v>
      </c>
      <c r="V14" s="29">
        <f>IF((V11+V18)&lt;=10000,-(V11+V18-10000),-MIN(-V11,'BS 36-month Projection'!$R$15))</f>
        <v>201296</v>
      </c>
      <c r="W14" s="29">
        <f>IF((W11+W18)&lt;=10000,-(W11+W18-10000),-MIN(-W11,'BS 36-month Projection'!$R$15))</f>
        <v>293791</v>
      </c>
      <c r="X14" s="29">
        <f>IF((X11+X18)&lt;=10000,-(X11+X18-10000),-MIN(-X11,'BS 36-month Projection'!$R$15))</f>
        <v>380802</v>
      </c>
      <c r="Y14" s="29">
        <f>IF((Y11+Y18)&lt;=10000,-(Y11+Y18-10000),-MIN(-Y11,'BS 36-month Projection'!$R$15))</f>
        <v>462291</v>
      </c>
      <c r="Z14" s="29">
        <f>IF((Z11+Z18)&lt;=10000,-(Z11+Z18-10000),-MIN(-Z11,'BS 36-month Projection'!$R$15))</f>
        <v>538224</v>
      </c>
      <c r="AA14" s="29">
        <f>IF((AA11+AA18)&lt;=10000,-(AA11+AA18-10000),-MIN(-AA11,'BS 36-month Projection'!$R$15))</f>
        <v>608563</v>
      </c>
      <c r="AB14" s="29">
        <f>IF((AB11+AB18)&lt;=10000,-(AB11+AB18-10000),-MIN(-AB11,'BS 36-month Projection'!$R$15))</f>
        <v>673269</v>
      </c>
      <c r="AC14" s="29">
        <f>IF((AC11+AC18)&lt;=10000,-(AC11+AC18-10000),-MIN(-AC11,'BS 36-month Projection'!$R$15))</f>
        <v>732307</v>
      </c>
      <c r="AD14" s="29">
        <f>IF((AD11+AD18)&lt;=10000,-(AD11+AD18-10000),-MIN(-AD11,'BS 36-month Projection'!$R$15))</f>
        <v>785638</v>
      </c>
      <c r="AE14" s="29">
        <f>IF((AE11+AE18)&lt;=10000,-(AE11+AE18-10000),-MIN(-AE11,'BS 36-month Projection'!$R$15))</f>
        <v>833224</v>
      </c>
      <c r="AF14" s="29">
        <f>IF((AF11+AF18)&lt;=10000,-(AF11+AF18-10000),-MIN(-AF11,'BS 36-month Projection'!$R$15))</f>
        <v>875028</v>
      </c>
      <c r="AG14" s="29">
        <f>IF((AG11+AG18)&lt;=10000,-(AG11+AG18-10000),-MIN(AG11,'BS 36-month Projection'!$AD$15))</f>
        <v>35981</v>
      </c>
      <c r="AH14" s="29">
        <f>IF((AH11+AH18)&lt;=10000,-(AH11+AH18-10000),-MIN(AH11,'BS 36-month Projection'!$AD$15))</f>
        <v>66101</v>
      </c>
      <c r="AI14" s="29">
        <f>IF((AI11+AI18)&lt;=10000,-(AI11+AI18-10000),-MIN(AI11,'BS 36-month Projection'!$AD$15))</f>
        <v>90321</v>
      </c>
      <c r="AJ14" s="29">
        <f>IF((AJ11+AJ18)&lt;=10000,-(AJ11+AJ18-10000),-MIN(AJ11,'BS 36-month Projection'!$AD$15))</f>
        <v>108602</v>
      </c>
      <c r="AK14" s="29">
        <f>IF((AK11+AK18)&lt;=10000,-(AK11+AK18-10000),-MIN(AK11,'BS 36-month Projection'!$AD$15))</f>
        <v>120904</v>
      </c>
      <c r="AL14" s="29">
        <f>IF((AL11+AL18)&lt;=10000,-(AL11+AL18-10000),-MIN(AL11,'BS 36-month Projection'!$AD$15))</f>
        <v>127188</v>
      </c>
      <c r="AM14" s="29">
        <f>IF((AM11+AM18)&lt;=10000,-(AM11+AM18-10000),-MIN(AM11,'BS 36-month Projection'!$AD$15))</f>
        <v>127414</v>
      </c>
      <c r="AN14" s="29">
        <f>IF((AN11+AN18)&lt;=10000,-(AN11+AN18-10000),-MIN(AN11,'BS 36-month Projection'!$AD$15))</f>
        <v>121541</v>
      </c>
      <c r="AO14" s="29">
        <f>IF((AO11+AO18)&lt;=10000,-(AO11+AO18-10000),-MIN(AO11,'BS 36-month Projection'!$AD$15))</f>
        <v>109528</v>
      </c>
      <c r="AP14" s="29">
        <f>IF((AP11+AP18)&lt;=10000,-(AP11+AP18-10000),-MIN(AP11,'BS 36-month Projection'!$AD$15))</f>
        <v>91334</v>
      </c>
      <c r="AQ14" s="29">
        <f>IF((AQ11+AQ18)&lt;=10000,-(AQ11+AQ18-10000),-MIN(AQ11,'BS 36-month Projection'!$AD$15))</f>
        <v>66919</v>
      </c>
      <c r="AR14" s="29">
        <f>IF((AR11+AR18)&lt;=10000,-(AR11+AR18-10000),-MIN(AR11,'BS 36-month Projection'!$AD$15))</f>
        <v>36232</v>
      </c>
    </row>
    <row r="15" spans="1:48" ht="14.25" customHeight="1">
      <c r="A15" s="12"/>
      <c r="B15" s="11"/>
      <c r="C15" s="11" t="s">
        <v>15</v>
      </c>
      <c r="D15" s="11"/>
      <c r="G15" s="48"/>
      <c r="I15" s="90">
        <f aca="true" t="shared" si="2" ref="I15:AR15">SUM(I14:I14)</f>
        <v>0</v>
      </c>
      <c r="J15" s="90">
        <f t="shared" si="2"/>
        <v>0</v>
      </c>
      <c r="K15" s="90">
        <f t="shared" si="2"/>
        <v>120307</v>
      </c>
      <c r="L15" s="90">
        <f t="shared" si="2"/>
        <v>270778</v>
      </c>
      <c r="M15" s="90">
        <f t="shared" si="2"/>
        <v>416152</v>
      </c>
      <c r="N15" s="90">
        <f t="shared" si="2"/>
        <v>556396</v>
      </c>
      <c r="O15" s="90">
        <f t="shared" si="2"/>
        <v>691472</v>
      </c>
      <c r="P15" s="90">
        <f t="shared" si="2"/>
        <v>821351</v>
      </c>
      <c r="Q15" s="90">
        <f t="shared" si="2"/>
        <v>945994</v>
      </c>
      <c r="R15" s="90">
        <f t="shared" si="2"/>
        <v>1065368</v>
      </c>
      <c r="S15" s="90">
        <f t="shared" si="2"/>
        <v>1179436</v>
      </c>
      <c r="T15" s="90">
        <f t="shared" si="2"/>
        <v>1288165</v>
      </c>
      <c r="U15" s="90">
        <f t="shared" si="2"/>
        <v>103354</v>
      </c>
      <c r="V15" s="90">
        <f t="shared" si="2"/>
        <v>201296</v>
      </c>
      <c r="W15" s="90">
        <f t="shared" si="2"/>
        <v>293791</v>
      </c>
      <c r="X15" s="90">
        <f t="shared" si="2"/>
        <v>380802</v>
      </c>
      <c r="Y15" s="90">
        <f t="shared" si="2"/>
        <v>462291</v>
      </c>
      <c r="Z15" s="90">
        <f t="shared" si="2"/>
        <v>538224</v>
      </c>
      <c r="AA15" s="90">
        <f t="shared" si="2"/>
        <v>608563</v>
      </c>
      <c r="AB15" s="90">
        <f t="shared" si="2"/>
        <v>673269</v>
      </c>
      <c r="AC15" s="90">
        <f t="shared" si="2"/>
        <v>732307</v>
      </c>
      <c r="AD15" s="90">
        <f t="shared" si="2"/>
        <v>785638</v>
      </c>
      <c r="AE15" s="90">
        <f t="shared" si="2"/>
        <v>833224</v>
      </c>
      <c r="AF15" s="90">
        <f t="shared" si="2"/>
        <v>875028</v>
      </c>
      <c r="AG15" s="90">
        <f t="shared" si="2"/>
        <v>35981</v>
      </c>
      <c r="AH15" s="90">
        <f t="shared" si="2"/>
        <v>66101</v>
      </c>
      <c r="AI15" s="90">
        <f t="shared" si="2"/>
        <v>90321</v>
      </c>
      <c r="AJ15" s="90">
        <f t="shared" si="2"/>
        <v>108602</v>
      </c>
      <c r="AK15" s="90">
        <f t="shared" si="2"/>
        <v>120904</v>
      </c>
      <c r="AL15" s="90">
        <f t="shared" si="2"/>
        <v>127188</v>
      </c>
      <c r="AM15" s="90">
        <f t="shared" si="2"/>
        <v>127414</v>
      </c>
      <c r="AN15" s="90">
        <f t="shared" si="2"/>
        <v>121541</v>
      </c>
      <c r="AO15" s="90">
        <f t="shared" si="2"/>
        <v>109528</v>
      </c>
      <c r="AP15" s="90">
        <f t="shared" si="2"/>
        <v>91334</v>
      </c>
      <c r="AQ15" s="90">
        <f t="shared" si="2"/>
        <v>66919</v>
      </c>
      <c r="AR15" s="90">
        <f t="shared" si="2"/>
        <v>36232</v>
      </c>
      <c r="AS15" s="50"/>
      <c r="AT15" s="50"/>
      <c r="AU15" s="50"/>
      <c r="AV15" s="69"/>
    </row>
    <row r="16" spans="1:48" ht="14.25" customHeight="1">
      <c r="A16" s="12"/>
      <c r="B16" s="11"/>
      <c r="C16" s="11"/>
      <c r="D16" s="11"/>
      <c r="G16" s="4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69"/>
      <c r="AT16" s="69"/>
      <c r="AU16" s="69"/>
      <c r="AV16" s="69"/>
    </row>
    <row r="17" spans="1:44" ht="14.25" customHeight="1">
      <c r="A17" s="12"/>
      <c r="B17" s="11" t="s">
        <v>16</v>
      </c>
      <c r="C17" s="11"/>
      <c r="D17" s="11"/>
      <c r="G17" s="44"/>
      <c r="I17" s="47">
        <f>I15+I11</f>
        <v>-167666</v>
      </c>
      <c r="J17" s="47">
        <f>+J15+J11</f>
        <v>-329537</v>
      </c>
      <c r="K17" s="47">
        <f>+K15+K11</f>
        <v>-365000</v>
      </c>
      <c r="L17" s="47">
        <f aca="true" t="shared" si="3" ref="L17:T17">+L15+L11</f>
        <v>-365000</v>
      </c>
      <c r="M17" s="47">
        <f t="shared" si="3"/>
        <v>-365000</v>
      </c>
      <c r="N17" s="47">
        <f t="shared" si="3"/>
        <v>-365000</v>
      </c>
      <c r="O17" s="47">
        <f t="shared" si="3"/>
        <v>-365000</v>
      </c>
      <c r="P17" s="47">
        <f t="shared" si="3"/>
        <v>-365000</v>
      </c>
      <c r="Q17" s="47">
        <f t="shared" si="3"/>
        <v>-365000</v>
      </c>
      <c r="R17" s="47">
        <f t="shared" si="3"/>
        <v>-365000</v>
      </c>
      <c r="S17" s="47">
        <f t="shared" si="3"/>
        <v>-365000</v>
      </c>
      <c r="T17" s="47">
        <f t="shared" si="3"/>
        <v>-365000</v>
      </c>
      <c r="U17" s="47">
        <f>U15+U11</f>
        <v>0</v>
      </c>
      <c r="V17" s="47">
        <f>V15+V11</f>
        <v>0</v>
      </c>
      <c r="W17" s="47">
        <f>W15+W11</f>
        <v>0</v>
      </c>
      <c r="X17" s="47">
        <f>X15+X11</f>
        <v>0</v>
      </c>
      <c r="Y17" s="47">
        <f aca="true" t="shared" si="4" ref="Y17:AR17">ROUND(Y15+Y11,0)</f>
        <v>0</v>
      </c>
      <c r="Z17" s="47">
        <f t="shared" si="4"/>
        <v>0</v>
      </c>
      <c r="AA17" s="47">
        <f t="shared" si="4"/>
        <v>0</v>
      </c>
      <c r="AB17" s="47">
        <f t="shared" si="4"/>
        <v>0</v>
      </c>
      <c r="AC17" s="47">
        <f t="shared" si="4"/>
        <v>0</v>
      </c>
      <c r="AD17" s="47">
        <f t="shared" si="4"/>
        <v>0</v>
      </c>
      <c r="AE17" s="47">
        <f t="shared" si="4"/>
        <v>0</v>
      </c>
      <c r="AF17" s="47">
        <f t="shared" si="4"/>
        <v>0</v>
      </c>
      <c r="AG17" s="47">
        <f t="shared" si="4"/>
        <v>0</v>
      </c>
      <c r="AH17" s="47">
        <f t="shared" si="4"/>
        <v>0</v>
      </c>
      <c r="AI17" s="47">
        <f t="shared" si="4"/>
        <v>0</v>
      </c>
      <c r="AJ17" s="47">
        <f t="shared" si="4"/>
        <v>0</v>
      </c>
      <c r="AK17" s="47">
        <f t="shared" si="4"/>
        <v>0</v>
      </c>
      <c r="AL17" s="47">
        <f t="shared" si="4"/>
        <v>0</v>
      </c>
      <c r="AM17" s="47">
        <f t="shared" si="4"/>
        <v>0</v>
      </c>
      <c r="AN17" s="47">
        <f t="shared" si="4"/>
        <v>0</v>
      </c>
      <c r="AO17" s="47">
        <f t="shared" si="4"/>
        <v>0</v>
      </c>
      <c r="AP17" s="47">
        <f t="shared" si="4"/>
        <v>0</v>
      </c>
      <c r="AQ17" s="47">
        <f t="shared" si="4"/>
        <v>0</v>
      </c>
      <c r="AR17" s="47">
        <f t="shared" si="4"/>
        <v>0</v>
      </c>
    </row>
    <row r="18" spans="1:44" ht="14.25" customHeight="1">
      <c r="A18" s="12"/>
      <c r="B18" s="11" t="s">
        <v>65</v>
      </c>
      <c r="C18" s="11"/>
      <c r="D18" s="11"/>
      <c r="G18" s="43"/>
      <c r="I18" s="28">
        <f>'BS 36-month Projection'!F7</f>
        <v>375000</v>
      </c>
      <c r="J18" s="28">
        <f aca="true" t="shared" si="5" ref="J18:T18">$I$18</f>
        <v>375000</v>
      </c>
      <c r="K18" s="28">
        <f t="shared" si="5"/>
        <v>375000</v>
      </c>
      <c r="L18" s="28">
        <f t="shared" si="5"/>
        <v>375000</v>
      </c>
      <c r="M18" s="28">
        <f t="shared" si="5"/>
        <v>375000</v>
      </c>
      <c r="N18" s="28">
        <f t="shared" si="5"/>
        <v>375000</v>
      </c>
      <c r="O18" s="28">
        <f t="shared" si="5"/>
        <v>375000</v>
      </c>
      <c r="P18" s="28">
        <f t="shared" si="5"/>
        <v>375000</v>
      </c>
      <c r="Q18" s="28">
        <f t="shared" si="5"/>
        <v>375000</v>
      </c>
      <c r="R18" s="28">
        <f t="shared" si="5"/>
        <v>375000</v>
      </c>
      <c r="S18" s="28">
        <f t="shared" si="5"/>
        <v>375000</v>
      </c>
      <c r="T18" s="28">
        <f t="shared" si="5"/>
        <v>375000</v>
      </c>
      <c r="U18" s="28">
        <f>$T$20</f>
        <v>10000</v>
      </c>
      <c r="V18" s="28">
        <f>$T$20</f>
        <v>10000</v>
      </c>
      <c r="W18" s="28">
        <f>$T$20</f>
        <v>10000</v>
      </c>
      <c r="X18" s="28">
        <f aca="true" t="shared" si="6" ref="X18:AE18">$T$20</f>
        <v>10000</v>
      </c>
      <c r="Y18" s="28">
        <f t="shared" si="6"/>
        <v>10000</v>
      </c>
      <c r="Z18" s="28">
        <f t="shared" si="6"/>
        <v>10000</v>
      </c>
      <c r="AA18" s="28">
        <f t="shared" si="6"/>
        <v>10000</v>
      </c>
      <c r="AB18" s="28">
        <f t="shared" si="6"/>
        <v>10000</v>
      </c>
      <c r="AC18" s="28">
        <f t="shared" si="6"/>
        <v>10000</v>
      </c>
      <c r="AD18" s="28">
        <f t="shared" si="6"/>
        <v>10000</v>
      </c>
      <c r="AE18" s="28">
        <f t="shared" si="6"/>
        <v>10000</v>
      </c>
      <c r="AF18" s="28">
        <f>$T$20</f>
        <v>10000</v>
      </c>
      <c r="AG18" s="28">
        <f aca="true" t="shared" si="7" ref="AG18:AR18">$AF$20</f>
        <v>10000</v>
      </c>
      <c r="AH18" s="28">
        <f t="shared" si="7"/>
        <v>10000</v>
      </c>
      <c r="AI18" s="28">
        <f t="shared" si="7"/>
        <v>10000</v>
      </c>
      <c r="AJ18" s="28">
        <f t="shared" si="7"/>
        <v>10000</v>
      </c>
      <c r="AK18" s="28">
        <f t="shared" si="7"/>
        <v>10000</v>
      </c>
      <c r="AL18" s="28">
        <f t="shared" si="7"/>
        <v>10000</v>
      </c>
      <c r="AM18" s="28">
        <f t="shared" si="7"/>
        <v>10000</v>
      </c>
      <c r="AN18" s="28">
        <f t="shared" si="7"/>
        <v>10000</v>
      </c>
      <c r="AO18" s="28">
        <f t="shared" si="7"/>
        <v>10000</v>
      </c>
      <c r="AP18" s="28">
        <f t="shared" si="7"/>
        <v>10000</v>
      </c>
      <c r="AQ18" s="28">
        <f t="shared" si="7"/>
        <v>10000</v>
      </c>
      <c r="AR18" s="28">
        <f t="shared" si="7"/>
        <v>10000</v>
      </c>
    </row>
    <row r="19" spans="1:44" ht="14.25" customHeight="1">
      <c r="A19" s="12"/>
      <c r="B19" s="11"/>
      <c r="C19" s="11"/>
      <c r="D19" s="11"/>
      <c r="G19" s="44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customHeight="1" thickBot="1">
      <c r="A20" s="12"/>
      <c r="B20" s="11" t="s">
        <v>66</v>
      </c>
      <c r="C20" s="11"/>
      <c r="D20" s="11"/>
      <c r="G20" s="44"/>
      <c r="I20" s="52">
        <f aca="true" t="shared" si="8" ref="I20:T20">SUM(I17:I19)</f>
        <v>207334</v>
      </c>
      <c r="J20" s="52">
        <f t="shared" si="8"/>
        <v>45463</v>
      </c>
      <c r="K20" s="52">
        <f t="shared" si="8"/>
        <v>10000</v>
      </c>
      <c r="L20" s="52">
        <f t="shared" si="8"/>
        <v>10000</v>
      </c>
      <c r="M20" s="52">
        <f t="shared" si="8"/>
        <v>10000</v>
      </c>
      <c r="N20" s="52">
        <f t="shared" si="8"/>
        <v>10000</v>
      </c>
      <c r="O20" s="52">
        <f t="shared" si="8"/>
        <v>10000</v>
      </c>
      <c r="P20" s="52">
        <f t="shared" si="8"/>
        <v>10000</v>
      </c>
      <c r="Q20" s="52">
        <f t="shared" si="8"/>
        <v>10000</v>
      </c>
      <c r="R20" s="52">
        <f t="shared" si="8"/>
        <v>10000</v>
      </c>
      <c r="S20" s="52">
        <f>SUM(S17:S19)</f>
        <v>10000</v>
      </c>
      <c r="T20" s="52">
        <f t="shared" si="8"/>
        <v>10000</v>
      </c>
      <c r="U20" s="52">
        <f aca="true" t="shared" si="9" ref="U20:AR20">SUM(U17:U19)</f>
        <v>10000</v>
      </c>
      <c r="V20" s="52">
        <f t="shared" si="9"/>
        <v>10000</v>
      </c>
      <c r="W20" s="52">
        <f t="shared" si="9"/>
        <v>10000</v>
      </c>
      <c r="X20" s="52">
        <f t="shared" si="9"/>
        <v>10000</v>
      </c>
      <c r="Y20" s="52">
        <f t="shared" si="9"/>
        <v>10000</v>
      </c>
      <c r="Z20" s="52">
        <f t="shared" si="9"/>
        <v>10000</v>
      </c>
      <c r="AA20" s="52">
        <f t="shared" si="9"/>
        <v>10000</v>
      </c>
      <c r="AB20" s="52">
        <f t="shared" si="9"/>
        <v>10000</v>
      </c>
      <c r="AC20" s="52">
        <f t="shared" si="9"/>
        <v>10000</v>
      </c>
      <c r="AD20" s="52">
        <f t="shared" si="9"/>
        <v>10000</v>
      </c>
      <c r="AE20" s="52">
        <f t="shared" si="9"/>
        <v>10000</v>
      </c>
      <c r="AF20" s="52">
        <f t="shared" si="9"/>
        <v>10000</v>
      </c>
      <c r="AG20" s="52">
        <f t="shared" si="9"/>
        <v>10000</v>
      </c>
      <c r="AH20" s="52">
        <f t="shared" si="9"/>
        <v>10000</v>
      </c>
      <c r="AI20" s="52">
        <f t="shared" si="9"/>
        <v>10000</v>
      </c>
      <c r="AJ20" s="52">
        <f t="shared" si="9"/>
        <v>10000</v>
      </c>
      <c r="AK20" s="52">
        <f t="shared" si="9"/>
        <v>10000</v>
      </c>
      <c r="AL20" s="52">
        <f t="shared" si="9"/>
        <v>10000</v>
      </c>
      <c r="AM20" s="52">
        <f t="shared" si="9"/>
        <v>10000</v>
      </c>
      <c r="AN20" s="52">
        <f t="shared" si="9"/>
        <v>10000</v>
      </c>
      <c r="AO20" s="52">
        <f t="shared" si="9"/>
        <v>10000</v>
      </c>
      <c r="AP20" s="52">
        <f t="shared" si="9"/>
        <v>10000</v>
      </c>
      <c r="AQ20" s="52">
        <f t="shared" si="9"/>
        <v>10000</v>
      </c>
      <c r="AR20" s="52">
        <f t="shared" si="9"/>
        <v>10000</v>
      </c>
    </row>
    <row r="21" ht="14.25" customHeight="1" thickTop="1">
      <c r="A21" s="14"/>
    </row>
    <row r="22" spans="1:33" ht="14.25" customHeight="1">
      <c r="A22" s="14"/>
      <c r="AG22" s="51"/>
    </row>
    <row r="23" spans="1:33" ht="14.25" customHeight="1">
      <c r="A23" s="14"/>
      <c r="AG23" s="51"/>
    </row>
    <row r="24" spans="1:33" ht="14.25" customHeight="1">
      <c r="A24" s="14"/>
      <c r="AG24" s="51"/>
    </row>
    <row r="25" ht="14.25" customHeight="1">
      <c r="A25" s="14"/>
    </row>
    <row r="26" ht="14.25" customHeight="1">
      <c r="A26" s="14"/>
    </row>
    <row r="27" ht="14.25" customHeight="1">
      <c r="A27" s="14"/>
    </row>
    <row r="28" ht="14.25" customHeight="1">
      <c r="A28" s="14"/>
    </row>
    <row r="29" ht="14.25" customHeight="1">
      <c r="A29" s="14"/>
    </row>
    <row r="30" ht="14.25" customHeight="1">
      <c r="A30" s="14"/>
    </row>
    <row r="31" ht="14.25" customHeight="1">
      <c r="A31" s="14"/>
    </row>
    <row r="32" ht="14.25" customHeight="1">
      <c r="A32" s="14"/>
    </row>
    <row r="33" ht="14.25" customHeight="1">
      <c r="A33" s="14"/>
    </row>
    <row r="34" ht="14.25" customHeight="1">
      <c r="A34" s="14"/>
    </row>
    <row r="35" ht="14.25" customHeight="1">
      <c r="A35" s="14"/>
    </row>
    <row r="36" ht="14.25" customHeight="1">
      <c r="A36" s="14"/>
    </row>
    <row r="37" ht="14.25" customHeight="1">
      <c r="A37" s="14"/>
    </row>
    <row r="38" ht="14.25" customHeight="1">
      <c r="A38" s="14"/>
    </row>
    <row r="39" ht="14.25" customHeight="1">
      <c r="A39" s="14"/>
    </row>
    <row r="40" ht="14.25" customHeight="1">
      <c r="A40" s="14"/>
    </row>
    <row r="41" ht="14.25" customHeight="1">
      <c r="A41" s="14"/>
    </row>
    <row r="42" ht="14.25" customHeight="1">
      <c r="A42" s="14"/>
    </row>
    <row r="43" ht="14.25" customHeight="1">
      <c r="A43" s="14"/>
    </row>
    <row r="44" ht="14.25" customHeight="1">
      <c r="A44" s="14"/>
    </row>
    <row r="45" ht="14.25" customHeight="1">
      <c r="A45" s="14"/>
    </row>
    <row r="46" ht="14.25" customHeight="1">
      <c r="A46" s="14"/>
    </row>
    <row r="47" ht="14.25" customHeight="1">
      <c r="A47" s="14"/>
    </row>
    <row r="48" ht="14.25" customHeight="1">
      <c r="A48" s="14"/>
    </row>
    <row r="49" ht="14.25" customHeight="1">
      <c r="A49" s="14"/>
    </row>
    <row r="50" ht="14.25" customHeight="1">
      <c r="A50" s="14"/>
    </row>
    <row r="51" ht="14.25" customHeight="1">
      <c r="A51" s="14"/>
    </row>
    <row r="52" ht="14.25" customHeight="1">
      <c r="A52" s="14"/>
    </row>
    <row r="53" ht="14.25" customHeight="1">
      <c r="A53" s="14"/>
    </row>
    <row r="54" ht="14.25" customHeight="1">
      <c r="A54" s="14"/>
    </row>
    <row r="55" ht="14.25" customHeight="1">
      <c r="A55" s="14"/>
    </row>
    <row r="56" ht="14.25" customHeight="1">
      <c r="A56" s="14"/>
    </row>
    <row r="57" ht="14.25" customHeight="1">
      <c r="A57" s="14"/>
    </row>
    <row r="58" ht="14.25" customHeight="1">
      <c r="A58" s="14"/>
    </row>
    <row r="59" ht="14.25" customHeight="1">
      <c r="A59" s="14"/>
    </row>
    <row r="60" ht="14.25" customHeight="1">
      <c r="A60" s="14"/>
    </row>
    <row r="61" ht="14.25" customHeight="1">
      <c r="A61" s="14"/>
    </row>
    <row r="62" ht="14.25" customHeight="1">
      <c r="A62" s="14"/>
    </row>
    <row r="63" ht="14.25" customHeight="1">
      <c r="A63" s="14"/>
    </row>
    <row r="64" ht="14.25" customHeight="1">
      <c r="A64" s="14"/>
    </row>
    <row r="65" ht="14.25" customHeight="1">
      <c r="A65" s="14"/>
    </row>
    <row r="66" ht="14.25" customHeight="1">
      <c r="A66" s="14"/>
    </row>
    <row r="67" ht="14.25" customHeight="1">
      <c r="A67" s="14"/>
    </row>
    <row r="68" ht="14.25" customHeight="1">
      <c r="A68" s="14"/>
    </row>
    <row r="69" ht="14.25" customHeight="1">
      <c r="A69" s="14"/>
    </row>
    <row r="70" ht="14.25" customHeight="1">
      <c r="A70" s="14"/>
    </row>
    <row r="71" ht="14.25" customHeight="1">
      <c r="A71" s="14"/>
    </row>
    <row r="72" ht="14.25" customHeight="1">
      <c r="A72" s="14"/>
    </row>
    <row r="73" ht="14.25" customHeight="1">
      <c r="A73" s="14"/>
    </row>
    <row r="74" ht="14.25" customHeight="1">
      <c r="A74" s="14"/>
    </row>
    <row r="75" ht="14.25" customHeight="1">
      <c r="A75" s="14"/>
    </row>
    <row r="76" ht="14.25" customHeight="1">
      <c r="A76" s="14"/>
    </row>
    <row r="77" ht="14.25" customHeight="1">
      <c r="A77" s="14"/>
    </row>
    <row r="78" ht="14.25" customHeight="1">
      <c r="A78" s="14"/>
    </row>
    <row r="79" ht="14.25" customHeight="1">
      <c r="A79" s="14"/>
    </row>
    <row r="80" ht="14.25" customHeight="1">
      <c r="A80" s="14"/>
    </row>
    <row r="81" ht="14.25" customHeight="1">
      <c r="A81" s="14"/>
    </row>
    <row r="82" ht="14.25" customHeight="1">
      <c r="A82" s="14"/>
    </row>
    <row r="83" ht="14.25" customHeight="1">
      <c r="A83" s="14"/>
    </row>
    <row r="84" ht="14.25" customHeight="1">
      <c r="A84" s="14"/>
    </row>
    <row r="85" ht="14.25" customHeight="1">
      <c r="A85" s="14"/>
    </row>
    <row r="86" ht="14.25" customHeight="1">
      <c r="A86" s="14"/>
    </row>
    <row r="87" ht="14.25" customHeight="1">
      <c r="A87" s="14"/>
    </row>
    <row r="88" ht="14.25" customHeight="1">
      <c r="A88" s="14"/>
    </row>
    <row r="89" ht="14.25" customHeight="1">
      <c r="A89" s="14"/>
    </row>
    <row r="90" ht="14.25" customHeight="1">
      <c r="A90" s="14"/>
    </row>
    <row r="91" ht="14.25" customHeight="1">
      <c r="A91" s="14"/>
    </row>
    <row r="92" ht="14.25" customHeight="1">
      <c r="A92" s="14"/>
    </row>
    <row r="93" ht="14.25" customHeight="1">
      <c r="A93" s="14"/>
    </row>
    <row r="94" ht="14.25" customHeight="1">
      <c r="A94" s="14"/>
    </row>
    <row r="95" ht="14.25" customHeight="1">
      <c r="A95" s="14"/>
    </row>
    <row r="96" ht="14.25" customHeight="1">
      <c r="A96" s="14"/>
    </row>
    <row r="97" ht="14.25" customHeight="1">
      <c r="A97" s="14"/>
    </row>
    <row r="98" ht="14.25" customHeight="1">
      <c r="A98" s="14"/>
    </row>
    <row r="99" ht="14.25" customHeight="1">
      <c r="A99" s="14"/>
    </row>
    <row r="100" ht="14.25" customHeight="1">
      <c r="A100" s="14"/>
    </row>
    <row r="101" ht="14.25" customHeight="1">
      <c r="A101" s="14"/>
    </row>
    <row r="102" ht="14.25" customHeight="1">
      <c r="A102" s="14"/>
    </row>
    <row r="103" ht="14.25" customHeight="1">
      <c r="A103" s="14"/>
    </row>
    <row r="104" ht="14.25" customHeight="1">
      <c r="A104" s="14"/>
    </row>
    <row r="105" ht="14.25" customHeight="1">
      <c r="A105" s="14"/>
    </row>
    <row r="106" ht="14.25" customHeight="1">
      <c r="A106" s="14"/>
    </row>
    <row r="107" ht="14.25" customHeight="1">
      <c r="A107" s="14"/>
    </row>
    <row r="108" ht="14.25" customHeight="1">
      <c r="A108" s="14"/>
    </row>
    <row r="109" ht="14.25" customHeight="1">
      <c r="A109" s="14"/>
    </row>
    <row r="110" ht="14.25" customHeight="1">
      <c r="A110" s="14"/>
    </row>
    <row r="111" ht="14.25" customHeight="1">
      <c r="A111" s="14"/>
    </row>
    <row r="112" ht="14.25" customHeight="1">
      <c r="A112" s="14"/>
    </row>
    <row r="113" ht="14.25" customHeight="1">
      <c r="A113" s="14"/>
    </row>
    <row r="114" ht="14.25" customHeight="1">
      <c r="A114" s="14"/>
    </row>
    <row r="115" ht="14.25" customHeight="1">
      <c r="A115" s="14"/>
    </row>
    <row r="116" ht="14.25" customHeight="1">
      <c r="A116" s="14"/>
    </row>
    <row r="117" ht="14.25" customHeight="1">
      <c r="A117" s="14"/>
    </row>
    <row r="118" ht="14.25" customHeight="1">
      <c r="A118" s="14"/>
    </row>
    <row r="119" ht="14.25" customHeight="1">
      <c r="A119" s="14"/>
    </row>
    <row r="120" ht="14.25" customHeight="1">
      <c r="A120" s="14"/>
    </row>
    <row r="121" ht="14.25" customHeight="1">
      <c r="A121" s="14"/>
    </row>
    <row r="122" ht="14.25" customHeight="1">
      <c r="A122" s="14"/>
    </row>
    <row r="123" ht="14.25" customHeight="1">
      <c r="A123" s="14"/>
    </row>
    <row r="124" ht="14.25" customHeight="1">
      <c r="A124" s="14"/>
    </row>
    <row r="125" ht="14.25" customHeight="1">
      <c r="A125" s="14"/>
    </row>
    <row r="126" ht="14.25" customHeight="1">
      <c r="A126" s="14"/>
    </row>
    <row r="127" ht="14.25" customHeight="1">
      <c r="A127" s="14"/>
    </row>
    <row r="128" ht="14.25" customHeight="1">
      <c r="A128" s="14"/>
    </row>
    <row r="129" ht="14.25" customHeight="1">
      <c r="A129" s="14"/>
    </row>
    <row r="130" ht="14.25" customHeight="1">
      <c r="A130" s="14"/>
    </row>
    <row r="131" ht="14.25" customHeight="1">
      <c r="A131" s="14"/>
    </row>
    <row r="132" ht="14.25" customHeight="1">
      <c r="A132" s="14"/>
    </row>
  </sheetData>
  <sheetProtection/>
  <printOptions/>
  <pageMargins left="0.75" right="0" top="1" bottom="1" header="0.75" footer="0.5"/>
  <pageSetup fitToWidth="3" fitToHeight="1" horizontalDpi="300" verticalDpi="300" orientation="landscape" scale="59" r:id="rId2"/>
  <headerFooter alignWithMargins="0">
    <oddFooter>&amp;L&amp;G&amp;C&amp;"Arial,Bold"&amp;11Three Year Projected Pre-Tax Statement of Cash Flows Under Hypothetical Assumptions in Exhibit 1
For management use only. Actual results will likely vary from projections.
Page 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PageLayoutView="0" workbookViewId="0" topLeftCell="A1">
      <pane xSplit="1" ySplit="4" topLeftCell="B5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D17" sqref="D17"/>
    </sheetView>
  </sheetViews>
  <sheetFormatPr defaultColWidth="9.140625" defaultRowHeight="12.75"/>
  <cols>
    <col min="1" max="1" width="48.28125" style="116" customWidth="1"/>
    <col min="2" max="2" width="13.140625" style="116" customWidth="1"/>
    <col min="3" max="3" width="11.28125" style="116" customWidth="1"/>
    <col min="4" max="4" width="11.7109375" style="116" customWidth="1"/>
    <col min="5" max="5" width="13.140625" style="116" customWidth="1"/>
    <col min="6" max="6" width="14.421875" style="116" customWidth="1"/>
    <col min="7" max="7" width="12.57421875" style="116" customWidth="1"/>
    <col min="8" max="8" width="12.00390625" style="116" customWidth="1"/>
    <col min="9" max="9" width="12.7109375" style="116" customWidth="1"/>
    <col min="10" max="10" width="12.00390625" style="116" customWidth="1"/>
    <col min="11" max="11" width="13.00390625" style="116" customWidth="1"/>
    <col min="12" max="12" width="14.140625" style="116" customWidth="1"/>
    <col min="13" max="14" width="13.57421875" style="116" customWidth="1"/>
    <col min="15" max="15" width="15.140625" style="116" customWidth="1"/>
    <col min="16" max="16" width="14.140625" style="116" customWidth="1"/>
    <col min="17" max="17" width="12.57421875" style="116" customWidth="1"/>
    <col min="18" max="18" width="15.421875" style="116" customWidth="1"/>
    <col min="19" max="19" width="13.57421875" style="116" customWidth="1"/>
    <col min="20" max="20" width="14.28125" style="116" customWidth="1"/>
    <col min="21" max="21" width="14.7109375" style="116" customWidth="1"/>
    <col min="22" max="22" width="15.421875" style="116" customWidth="1"/>
    <col min="23" max="23" width="13.8515625" style="116" customWidth="1"/>
    <col min="24" max="24" width="14.421875" style="116" customWidth="1"/>
    <col min="25" max="25" width="14.28125" style="116" customWidth="1"/>
    <col min="26" max="27" width="16.28125" style="116" customWidth="1"/>
    <col min="28" max="28" width="12.140625" style="116" customWidth="1"/>
    <col min="29" max="29" width="12.57421875" style="116" customWidth="1"/>
    <col min="30" max="30" width="13.00390625" style="116" customWidth="1"/>
    <col min="31" max="31" width="13.140625" style="116" customWidth="1"/>
    <col min="32" max="32" width="12.57421875" style="116" customWidth="1"/>
    <col min="33" max="33" width="13.57421875" style="116" customWidth="1"/>
    <col min="34" max="34" width="12.140625" style="116" customWidth="1"/>
    <col min="35" max="35" width="12.421875" style="116" customWidth="1"/>
    <col min="36" max="36" width="12.00390625" style="116" customWidth="1"/>
    <col min="37" max="38" width="11.8515625" style="116" customWidth="1"/>
    <col min="39" max="39" width="11.7109375" style="116" customWidth="1"/>
    <col min="40" max="40" width="13.140625" style="116" customWidth="1"/>
    <col min="41" max="16384" width="9.140625" style="116" customWidth="1"/>
  </cols>
  <sheetData>
    <row r="1" ht="12.75">
      <c r="A1" s="116" t="e">
        <f>Assumptions!#REF!</f>
        <v>#REF!</v>
      </c>
    </row>
    <row r="2" ht="12.75">
      <c r="A2" s="116" t="s">
        <v>85</v>
      </c>
    </row>
    <row r="3" ht="12.75"/>
    <row r="4" spans="1:40" ht="12.75">
      <c r="A4" s="117" t="s">
        <v>69</v>
      </c>
      <c r="B4" s="118">
        <v>1</v>
      </c>
      <c r="C4" s="118">
        <f aca="true" t="shared" si="0" ref="C4:M4">+B4+1</f>
        <v>2</v>
      </c>
      <c r="D4" s="118">
        <f t="shared" si="0"/>
        <v>3</v>
      </c>
      <c r="E4" s="118">
        <f t="shared" si="0"/>
        <v>4</v>
      </c>
      <c r="F4" s="118">
        <f t="shared" si="0"/>
        <v>5</v>
      </c>
      <c r="G4" s="118">
        <f t="shared" si="0"/>
        <v>6</v>
      </c>
      <c r="H4" s="118">
        <f t="shared" si="0"/>
        <v>7</v>
      </c>
      <c r="I4" s="118">
        <f t="shared" si="0"/>
        <v>8</v>
      </c>
      <c r="J4" s="118">
        <f t="shared" si="0"/>
        <v>9</v>
      </c>
      <c r="K4" s="118">
        <f t="shared" si="0"/>
        <v>10</v>
      </c>
      <c r="L4" s="118">
        <f t="shared" si="0"/>
        <v>11</v>
      </c>
      <c r="M4" s="118">
        <f t="shared" si="0"/>
        <v>12</v>
      </c>
      <c r="N4" s="118" t="s">
        <v>68</v>
      </c>
      <c r="O4" s="118">
        <f>+M4+1</f>
        <v>13</v>
      </c>
      <c r="P4" s="118">
        <f aca="true" t="shared" si="1" ref="P4:Z4">+O4+1</f>
        <v>14</v>
      </c>
      <c r="Q4" s="118">
        <f t="shared" si="1"/>
        <v>15</v>
      </c>
      <c r="R4" s="118">
        <f t="shared" si="1"/>
        <v>16</v>
      </c>
      <c r="S4" s="118">
        <f t="shared" si="1"/>
        <v>17</v>
      </c>
      <c r="T4" s="118">
        <f t="shared" si="1"/>
        <v>18</v>
      </c>
      <c r="U4" s="118">
        <f t="shared" si="1"/>
        <v>19</v>
      </c>
      <c r="V4" s="118">
        <f t="shared" si="1"/>
        <v>20</v>
      </c>
      <c r="W4" s="118">
        <f t="shared" si="1"/>
        <v>21</v>
      </c>
      <c r="X4" s="118">
        <f t="shared" si="1"/>
        <v>22</v>
      </c>
      <c r="Y4" s="118">
        <f t="shared" si="1"/>
        <v>23</v>
      </c>
      <c r="Z4" s="118">
        <f t="shared" si="1"/>
        <v>24</v>
      </c>
      <c r="AA4" s="118" t="s">
        <v>86</v>
      </c>
      <c r="AB4" s="119">
        <f>Z4+1</f>
        <v>25</v>
      </c>
      <c r="AC4" s="119">
        <f aca="true" t="shared" si="2" ref="AC4:AM4">AB4+1</f>
        <v>26</v>
      </c>
      <c r="AD4" s="119">
        <f t="shared" si="2"/>
        <v>27</v>
      </c>
      <c r="AE4" s="119">
        <f t="shared" si="2"/>
        <v>28</v>
      </c>
      <c r="AF4" s="119">
        <f t="shared" si="2"/>
        <v>29</v>
      </c>
      <c r="AG4" s="119">
        <f t="shared" si="2"/>
        <v>30</v>
      </c>
      <c r="AH4" s="119">
        <f t="shared" si="2"/>
        <v>31</v>
      </c>
      <c r="AI4" s="119">
        <f t="shared" si="2"/>
        <v>32</v>
      </c>
      <c r="AJ4" s="119">
        <f t="shared" si="2"/>
        <v>33</v>
      </c>
      <c r="AK4" s="119">
        <f t="shared" si="2"/>
        <v>34</v>
      </c>
      <c r="AL4" s="119">
        <f t="shared" si="2"/>
        <v>35</v>
      </c>
      <c r="AM4" s="119">
        <f t="shared" si="2"/>
        <v>36</v>
      </c>
      <c r="AN4" s="118" t="s">
        <v>207</v>
      </c>
    </row>
    <row r="5" spans="1:40" ht="12.7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 t="s">
        <v>7</v>
      </c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 t="s">
        <v>7</v>
      </c>
      <c r="AN5" s="118" t="s">
        <v>7</v>
      </c>
    </row>
    <row r="6" spans="1:40" ht="12.75">
      <c r="A6" s="116" t="s">
        <v>87</v>
      </c>
      <c r="B6" s="120">
        <f>Assumptions!$C$15</f>
        <v>25</v>
      </c>
      <c r="C6" s="120">
        <f>Assumptions!$C$15</f>
        <v>25</v>
      </c>
      <c r="D6" s="120">
        <f>Assumptions!$C$15</f>
        <v>25</v>
      </c>
      <c r="E6" s="120">
        <f>Assumptions!$C$15</f>
        <v>25</v>
      </c>
      <c r="F6" s="120">
        <f>Assumptions!$C$15</f>
        <v>25</v>
      </c>
      <c r="G6" s="120">
        <f>Assumptions!$C$15</f>
        <v>25</v>
      </c>
      <c r="H6" s="120">
        <f>Assumptions!$C$15</f>
        <v>25</v>
      </c>
      <c r="I6" s="120">
        <f>Assumptions!$C$15</f>
        <v>25</v>
      </c>
      <c r="J6" s="120">
        <f>Assumptions!$C$15</f>
        <v>25</v>
      </c>
      <c r="K6" s="120">
        <f>Assumptions!$C$15</f>
        <v>25</v>
      </c>
      <c r="L6" s="120">
        <f>Assumptions!$C$15</f>
        <v>25</v>
      </c>
      <c r="M6" s="120">
        <f>Assumptions!$C$15</f>
        <v>25</v>
      </c>
      <c r="N6" s="121">
        <f>SUM(B6:M6)</f>
        <v>300</v>
      </c>
      <c r="O6" s="120">
        <f>Assumptions!$C$15</f>
        <v>25</v>
      </c>
      <c r="P6" s="120">
        <f>Assumptions!$C$15</f>
        <v>25</v>
      </c>
      <c r="Q6" s="120">
        <f>Assumptions!$C$15</f>
        <v>25</v>
      </c>
      <c r="R6" s="120">
        <f>Assumptions!$C$15</f>
        <v>25</v>
      </c>
      <c r="S6" s="120">
        <f>Assumptions!$C$15</f>
        <v>25</v>
      </c>
      <c r="T6" s="120">
        <f>Assumptions!$C$15</f>
        <v>25</v>
      </c>
      <c r="U6" s="120">
        <f>Assumptions!$C$15</f>
        <v>25</v>
      </c>
      <c r="V6" s="120">
        <f>Assumptions!$C$15</f>
        <v>25</v>
      </c>
      <c r="W6" s="120">
        <f>Assumptions!$C$15</f>
        <v>25</v>
      </c>
      <c r="X6" s="120">
        <f>Assumptions!$C$15</f>
        <v>25</v>
      </c>
      <c r="Y6" s="120">
        <f>Assumptions!$C$15</f>
        <v>25</v>
      </c>
      <c r="Z6" s="120">
        <f>Assumptions!$C$15</f>
        <v>25</v>
      </c>
      <c r="AA6" s="120">
        <f>SUM(O6:Z6)</f>
        <v>300</v>
      </c>
      <c r="AB6" s="120">
        <f>Assumptions!$C$15</f>
        <v>25</v>
      </c>
      <c r="AC6" s="120">
        <f>Assumptions!$C$15</f>
        <v>25</v>
      </c>
      <c r="AD6" s="120">
        <f>Assumptions!$C$15</f>
        <v>25</v>
      </c>
      <c r="AE6" s="120">
        <f>Assumptions!$C$15</f>
        <v>25</v>
      </c>
      <c r="AF6" s="120">
        <f>Assumptions!$C$15</f>
        <v>25</v>
      </c>
      <c r="AG6" s="120">
        <f>Assumptions!$C$15</f>
        <v>25</v>
      </c>
      <c r="AH6" s="120">
        <f>Assumptions!$C$15</f>
        <v>25</v>
      </c>
      <c r="AI6" s="120">
        <f>Assumptions!$C$15</f>
        <v>25</v>
      </c>
      <c r="AJ6" s="120">
        <f>Assumptions!$C$15</f>
        <v>25</v>
      </c>
      <c r="AK6" s="120">
        <f>Assumptions!$C$15</f>
        <v>25</v>
      </c>
      <c r="AL6" s="120">
        <f>Assumptions!$C$15</f>
        <v>25</v>
      </c>
      <c r="AM6" s="120">
        <f>Assumptions!$C$15</f>
        <v>25</v>
      </c>
      <c r="AN6" s="120">
        <f>SUM(AB6:AM6)</f>
        <v>300</v>
      </c>
    </row>
    <row r="7" spans="1:40" ht="12.75">
      <c r="A7" s="122" t="s">
        <v>88</v>
      </c>
      <c r="B7" s="123">
        <f>Assumptions!$C$12</f>
        <v>10000</v>
      </c>
      <c r="C7" s="124">
        <f>Assumptions!$C$12</f>
        <v>10000</v>
      </c>
      <c r="D7" s="124">
        <f>Assumptions!$C$12</f>
        <v>10000</v>
      </c>
      <c r="E7" s="124">
        <f>Assumptions!$C$12</f>
        <v>10000</v>
      </c>
      <c r="F7" s="124">
        <f>Assumptions!$C$12</f>
        <v>10000</v>
      </c>
      <c r="G7" s="124">
        <f>Assumptions!$C$12</f>
        <v>10000</v>
      </c>
      <c r="H7" s="124">
        <f>Assumptions!$C$12</f>
        <v>10000</v>
      </c>
      <c r="I7" s="124">
        <f>Assumptions!$C$12</f>
        <v>10000</v>
      </c>
      <c r="J7" s="124">
        <f>Assumptions!$C$12</f>
        <v>10000</v>
      </c>
      <c r="K7" s="124">
        <f>Assumptions!$C$12</f>
        <v>10000</v>
      </c>
      <c r="L7" s="124">
        <f>Assumptions!$C$12</f>
        <v>10000</v>
      </c>
      <c r="M7" s="124">
        <f>Assumptions!$C$12</f>
        <v>10000</v>
      </c>
      <c r="N7" s="124">
        <f>Assumptions!$C$12</f>
        <v>10000</v>
      </c>
      <c r="O7" s="124">
        <f>Assumptions!$C$12</f>
        <v>10000</v>
      </c>
      <c r="P7" s="124">
        <f>Assumptions!$C$12</f>
        <v>10000</v>
      </c>
      <c r="Q7" s="124">
        <f>Assumptions!$C$12</f>
        <v>10000</v>
      </c>
      <c r="R7" s="124">
        <f>Assumptions!$C$12</f>
        <v>10000</v>
      </c>
      <c r="S7" s="124">
        <f>Assumptions!$C$12</f>
        <v>10000</v>
      </c>
      <c r="T7" s="124">
        <f>Assumptions!$C$12</f>
        <v>10000</v>
      </c>
      <c r="U7" s="124">
        <f>Assumptions!$C$12</f>
        <v>10000</v>
      </c>
      <c r="V7" s="124">
        <f>Assumptions!$C$12</f>
        <v>10000</v>
      </c>
      <c r="W7" s="124">
        <f>Assumptions!$C$12</f>
        <v>10000</v>
      </c>
      <c r="X7" s="124">
        <f>Assumptions!$C$12</f>
        <v>10000</v>
      </c>
      <c r="Y7" s="124">
        <f>Assumptions!$C$12</f>
        <v>10000</v>
      </c>
      <c r="Z7" s="124">
        <f>Assumptions!$C$12</f>
        <v>10000</v>
      </c>
      <c r="AA7" s="124">
        <f>Assumptions!$C$12</f>
        <v>10000</v>
      </c>
      <c r="AB7" s="124">
        <f>Assumptions!$C$12</f>
        <v>10000</v>
      </c>
      <c r="AC7" s="124">
        <f>Assumptions!$C$12</f>
        <v>10000</v>
      </c>
      <c r="AD7" s="124">
        <f>Assumptions!$C$12</f>
        <v>10000</v>
      </c>
      <c r="AE7" s="124">
        <f>Assumptions!$C$12</f>
        <v>10000</v>
      </c>
      <c r="AF7" s="124">
        <f>Assumptions!$C$12</f>
        <v>10000</v>
      </c>
      <c r="AG7" s="124">
        <f>Assumptions!$C$12</f>
        <v>10000</v>
      </c>
      <c r="AH7" s="124">
        <f>Assumptions!$C$12</f>
        <v>10000</v>
      </c>
      <c r="AI7" s="124">
        <f>Assumptions!$C$12</f>
        <v>10000</v>
      </c>
      <c r="AJ7" s="124">
        <f>Assumptions!$C$12</f>
        <v>10000</v>
      </c>
      <c r="AK7" s="124">
        <f>Assumptions!$C$12</f>
        <v>10000</v>
      </c>
      <c r="AL7" s="124">
        <f>Assumptions!$C$12</f>
        <v>10000</v>
      </c>
      <c r="AM7" s="124">
        <f>Assumptions!$C$12</f>
        <v>10000</v>
      </c>
      <c r="AN7" s="124">
        <f>Assumptions!$C$12</f>
        <v>10000</v>
      </c>
    </row>
    <row r="8" spans="1:40" ht="12.75">
      <c r="A8" s="116" t="s">
        <v>89</v>
      </c>
      <c r="B8" s="125">
        <f aca="true" t="shared" si="3" ref="B8:M8">+B6*B7</f>
        <v>250000</v>
      </c>
      <c r="C8" s="126">
        <f t="shared" si="3"/>
        <v>250000</v>
      </c>
      <c r="D8" s="126">
        <f t="shared" si="3"/>
        <v>250000</v>
      </c>
      <c r="E8" s="126">
        <f t="shared" si="3"/>
        <v>250000</v>
      </c>
      <c r="F8" s="126">
        <f t="shared" si="3"/>
        <v>250000</v>
      </c>
      <c r="G8" s="126">
        <f t="shared" si="3"/>
        <v>250000</v>
      </c>
      <c r="H8" s="126">
        <f t="shared" si="3"/>
        <v>250000</v>
      </c>
      <c r="I8" s="126">
        <f t="shared" si="3"/>
        <v>250000</v>
      </c>
      <c r="J8" s="126">
        <f t="shared" si="3"/>
        <v>250000</v>
      </c>
      <c r="K8" s="126">
        <f t="shared" si="3"/>
        <v>250000</v>
      </c>
      <c r="L8" s="126">
        <f t="shared" si="3"/>
        <v>250000</v>
      </c>
      <c r="M8" s="126">
        <f t="shared" si="3"/>
        <v>250000</v>
      </c>
      <c r="N8" s="126">
        <f>SUM(B8:M8)</f>
        <v>3000000</v>
      </c>
      <c r="O8" s="126">
        <f aca="true" t="shared" si="4" ref="O8:AM8">+O6*O7</f>
        <v>250000</v>
      </c>
      <c r="P8" s="126">
        <f t="shared" si="4"/>
        <v>250000</v>
      </c>
      <c r="Q8" s="126">
        <f t="shared" si="4"/>
        <v>250000</v>
      </c>
      <c r="R8" s="126">
        <f t="shared" si="4"/>
        <v>250000</v>
      </c>
      <c r="S8" s="126">
        <f t="shared" si="4"/>
        <v>250000</v>
      </c>
      <c r="T8" s="126">
        <f t="shared" si="4"/>
        <v>250000</v>
      </c>
      <c r="U8" s="126">
        <f t="shared" si="4"/>
        <v>250000</v>
      </c>
      <c r="V8" s="126">
        <f t="shared" si="4"/>
        <v>250000</v>
      </c>
      <c r="W8" s="126">
        <f t="shared" si="4"/>
        <v>250000</v>
      </c>
      <c r="X8" s="126">
        <f t="shared" si="4"/>
        <v>250000</v>
      </c>
      <c r="Y8" s="126">
        <f t="shared" si="4"/>
        <v>250000</v>
      </c>
      <c r="Z8" s="126">
        <f t="shared" si="4"/>
        <v>250000</v>
      </c>
      <c r="AA8" s="126">
        <f t="shared" si="4"/>
        <v>3000000</v>
      </c>
      <c r="AB8" s="126">
        <f t="shared" si="4"/>
        <v>250000</v>
      </c>
      <c r="AC8" s="126">
        <f t="shared" si="4"/>
        <v>250000</v>
      </c>
      <c r="AD8" s="126">
        <f t="shared" si="4"/>
        <v>250000</v>
      </c>
      <c r="AE8" s="126">
        <f t="shared" si="4"/>
        <v>250000</v>
      </c>
      <c r="AF8" s="126">
        <f t="shared" si="4"/>
        <v>250000</v>
      </c>
      <c r="AG8" s="126">
        <f t="shared" si="4"/>
        <v>250000</v>
      </c>
      <c r="AH8" s="126">
        <f t="shared" si="4"/>
        <v>250000</v>
      </c>
      <c r="AI8" s="126">
        <f t="shared" si="4"/>
        <v>250000</v>
      </c>
      <c r="AJ8" s="126">
        <f t="shared" si="4"/>
        <v>250000</v>
      </c>
      <c r="AK8" s="126">
        <f t="shared" si="4"/>
        <v>250000</v>
      </c>
      <c r="AL8" s="126">
        <f t="shared" si="4"/>
        <v>250000</v>
      </c>
      <c r="AM8" s="126">
        <f t="shared" si="4"/>
        <v>250000</v>
      </c>
      <c r="AN8" s="126">
        <f>+AN6*AN7</f>
        <v>3000000</v>
      </c>
    </row>
    <row r="9" spans="1:40" ht="12.75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N9" s="118"/>
    </row>
    <row r="10" ht="12.75"/>
    <row r="11" spans="1:40" ht="12.75">
      <c r="A11" s="116" t="s">
        <v>87</v>
      </c>
      <c r="B11" s="120">
        <f aca="true" t="shared" si="5" ref="B11:M11">B6</f>
        <v>25</v>
      </c>
      <c r="C11" s="120">
        <f t="shared" si="5"/>
        <v>25</v>
      </c>
      <c r="D11" s="120">
        <f t="shared" si="5"/>
        <v>25</v>
      </c>
      <c r="E11" s="120">
        <f t="shared" si="5"/>
        <v>25</v>
      </c>
      <c r="F11" s="120">
        <f t="shared" si="5"/>
        <v>25</v>
      </c>
      <c r="G11" s="120">
        <f t="shared" si="5"/>
        <v>25</v>
      </c>
      <c r="H11" s="120">
        <f t="shared" si="5"/>
        <v>25</v>
      </c>
      <c r="I11" s="120">
        <f t="shared" si="5"/>
        <v>25</v>
      </c>
      <c r="J11" s="120">
        <f t="shared" si="5"/>
        <v>25</v>
      </c>
      <c r="K11" s="120">
        <f t="shared" si="5"/>
        <v>25</v>
      </c>
      <c r="L11" s="120">
        <f t="shared" si="5"/>
        <v>25</v>
      </c>
      <c r="M11" s="120">
        <f t="shared" si="5"/>
        <v>25</v>
      </c>
      <c r="N11" s="120">
        <f>SUM(B11:M11)</f>
        <v>300</v>
      </c>
      <c r="O11" s="120">
        <f aca="true" t="shared" si="6" ref="O11:AB11">O6</f>
        <v>25</v>
      </c>
      <c r="P11" s="120">
        <f t="shared" si="6"/>
        <v>25</v>
      </c>
      <c r="Q11" s="120">
        <f t="shared" si="6"/>
        <v>25</v>
      </c>
      <c r="R11" s="120">
        <f t="shared" si="6"/>
        <v>25</v>
      </c>
      <c r="S11" s="120">
        <f t="shared" si="6"/>
        <v>25</v>
      </c>
      <c r="T11" s="120">
        <f t="shared" si="6"/>
        <v>25</v>
      </c>
      <c r="U11" s="120">
        <f t="shared" si="6"/>
        <v>25</v>
      </c>
      <c r="V11" s="120">
        <f t="shared" si="6"/>
        <v>25</v>
      </c>
      <c r="W11" s="120">
        <f t="shared" si="6"/>
        <v>25</v>
      </c>
      <c r="X11" s="120">
        <f t="shared" si="6"/>
        <v>25</v>
      </c>
      <c r="Y11" s="120">
        <f t="shared" si="6"/>
        <v>25</v>
      </c>
      <c r="Z11" s="120">
        <f t="shared" si="6"/>
        <v>25</v>
      </c>
      <c r="AA11" s="120">
        <f>SUM(O11:Z11)</f>
        <v>300</v>
      </c>
      <c r="AB11" s="120">
        <f t="shared" si="6"/>
        <v>25</v>
      </c>
      <c r="AC11" s="120">
        <f aca="true" t="shared" si="7" ref="AC11:AM11">AC6</f>
        <v>25</v>
      </c>
      <c r="AD11" s="120">
        <f t="shared" si="7"/>
        <v>25</v>
      </c>
      <c r="AE11" s="120">
        <f t="shared" si="7"/>
        <v>25</v>
      </c>
      <c r="AF11" s="120">
        <f t="shared" si="7"/>
        <v>25</v>
      </c>
      <c r="AG11" s="120">
        <f t="shared" si="7"/>
        <v>25</v>
      </c>
      <c r="AH11" s="120">
        <f t="shared" si="7"/>
        <v>25</v>
      </c>
      <c r="AI11" s="120">
        <f t="shared" si="7"/>
        <v>25</v>
      </c>
      <c r="AJ11" s="120">
        <f t="shared" si="7"/>
        <v>25</v>
      </c>
      <c r="AK11" s="120">
        <f t="shared" si="7"/>
        <v>25</v>
      </c>
      <c r="AL11" s="120">
        <f t="shared" si="7"/>
        <v>25</v>
      </c>
      <c r="AM11" s="120">
        <f t="shared" si="7"/>
        <v>25</v>
      </c>
      <c r="AN11" s="120">
        <f>SUM(AB11:AM11)</f>
        <v>300</v>
      </c>
    </row>
    <row r="12" spans="1:40" ht="12.75">
      <c r="A12" s="122" t="s">
        <v>90</v>
      </c>
      <c r="B12" s="127">
        <f>Assumptions!$C$14</f>
        <v>9000</v>
      </c>
      <c r="C12" s="127">
        <f>Assumptions!$C$14</f>
        <v>9000</v>
      </c>
      <c r="D12" s="127">
        <f>Assumptions!$C$14</f>
        <v>9000</v>
      </c>
      <c r="E12" s="127">
        <f>Assumptions!$C$14</f>
        <v>9000</v>
      </c>
      <c r="F12" s="127">
        <f>Assumptions!$C$14</f>
        <v>9000</v>
      </c>
      <c r="G12" s="127">
        <f>Assumptions!$C$14</f>
        <v>9000</v>
      </c>
      <c r="H12" s="127">
        <f>Assumptions!$C$14</f>
        <v>9000</v>
      </c>
      <c r="I12" s="127">
        <f>Assumptions!$C$14</f>
        <v>9000</v>
      </c>
      <c r="J12" s="127">
        <f>Assumptions!$C$14</f>
        <v>9000</v>
      </c>
      <c r="K12" s="127">
        <f>Assumptions!$C$14</f>
        <v>9000</v>
      </c>
      <c r="L12" s="127">
        <f>Assumptions!$C$14</f>
        <v>9000</v>
      </c>
      <c r="M12" s="127">
        <f>Assumptions!$C$14</f>
        <v>9000</v>
      </c>
      <c r="N12" s="127">
        <f>M12</f>
        <v>9000</v>
      </c>
      <c r="O12" s="127">
        <f>Assumptions!$C$14</f>
        <v>9000</v>
      </c>
      <c r="P12" s="127">
        <f>Assumptions!$C$14</f>
        <v>9000</v>
      </c>
      <c r="Q12" s="127">
        <f>Assumptions!$C$14</f>
        <v>9000</v>
      </c>
      <c r="R12" s="127">
        <f>Assumptions!$C$14</f>
        <v>9000</v>
      </c>
      <c r="S12" s="127">
        <f>Assumptions!$C$14</f>
        <v>9000</v>
      </c>
      <c r="T12" s="127">
        <f>Assumptions!$C$14</f>
        <v>9000</v>
      </c>
      <c r="U12" s="127">
        <f>Assumptions!$C$14</f>
        <v>9000</v>
      </c>
      <c r="V12" s="127">
        <f>Assumptions!$C$14</f>
        <v>9000</v>
      </c>
      <c r="W12" s="127">
        <f>Assumptions!$C$14</f>
        <v>9000</v>
      </c>
      <c r="X12" s="127">
        <f>Assumptions!$C$14</f>
        <v>9000</v>
      </c>
      <c r="Y12" s="127">
        <f>Assumptions!$C$14</f>
        <v>9000</v>
      </c>
      <c r="Z12" s="127">
        <f>Assumptions!$C$14</f>
        <v>9000</v>
      </c>
      <c r="AA12" s="128">
        <f>Z12</f>
        <v>9000</v>
      </c>
      <c r="AB12" s="127">
        <f>Assumptions!$C$14</f>
        <v>9000</v>
      </c>
      <c r="AC12" s="127">
        <f>Assumptions!$C$14</f>
        <v>9000</v>
      </c>
      <c r="AD12" s="127">
        <f>Assumptions!$C$14</f>
        <v>9000</v>
      </c>
      <c r="AE12" s="127">
        <f>Assumptions!$C$14</f>
        <v>9000</v>
      </c>
      <c r="AF12" s="127">
        <f>Assumptions!$C$14</f>
        <v>9000</v>
      </c>
      <c r="AG12" s="127">
        <f>Assumptions!$C$14</f>
        <v>9000</v>
      </c>
      <c r="AH12" s="127">
        <f>Assumptions!$C$14</f>
        <v>9000</v>
      </c>
      <c r="AI12" s="127">
        <f>Assumptions!$C$14</f>
        <v>9000</v>
      </c>
      <c r="AJ12" s="127">
        <f>Assumptions!$C$14</f>
        <v>9000</v>
      </c>
      <c r="AK12" s="127">
        <f>Assumptions!$C$14</f>
        <v>9000</v>
      </c>
      <c r="AL12" s="127">
        <f>Assumptions!$C$14</f>
        <v>9000</v>
      </c>
      <c r="AM12" s="127">
        <f>Assumptions!$C$14</f>
        <v>9000</v>
      </c>
      <c r="AN12" s="128">
        <f>AM12</f>
        <v>9000</v>
      </c>
    </row>
    <row r="13" spans="1:40" ht="12.75">
      <c r="A13" s="116" t="s">
        <v>91</v>
      </c>
      <c r="B13" s="129">
        <f aca="true" t="shared" si="8" ref="B13:AM13">+B11*B12</f>
        <v>225000</v>
      </c>
      <c r="C13" s="129">
        <f t="shared" si="8"/>
        <v>225000</v>
      </c>
      <c r="D13" s="129">
        <f t="shared" si="8"/>
        <v>225000</v>
      </c>
      <c r="E13" s="129">
        <f t="shared" si="8"/>
        <v>225000</v>
      </c>
      <c r="F13" s="129">
        <f t="shared" si="8"/>
        <v>225000</v>
      </c>
      <c r="G13" s="129">
        <f t="shared" si="8"/>
        <v>225000</v>
      </c>
      <c r="H13" s="129">
        <f t="shared" si="8"/>
        <v>225000</v>
      </c>
      <c r="I13" s="129">
        <f t="shared" si="8"/>
        <v>225000</v>
      </c>
      <c r="J13" s="129">
        <f t="shared" si="8"/>
        <v>225000</v>
      </c>
      <c r="K13" s="129">
        <f t="shared" si="8"/>
        <v>225000</v>
      </c>
      <c r="L13" s="129">
        <f t="shared" si="8"/>
        <v>225000</v>
      </c>
      <c r="M13" s="129">
        <f t="shared" si="8"/>
        <v>225000</v>
      </c>
      <c r="N13" s="129">
        <f t="shared" si="8"/>
        <v>2700000</v>
      </c>
      <c r="O13" s="129">
        <f t="shared" si="8"/>
        <v>225000</v>
      </c>
      <c r="P13" s="129">
        <f t="shared" si="8"/>
        <v>225000</v>
      </c>
      <c r="Q13" s="129">
        <f t="shared" si="8"/>
        <v>225000</v>
      </c>
      <c r="R13" s="129">
        <f t="shared" si="8"/>
        <v>225000</v>
      </c>
      <c r="S13" s="129">
        <f t="shared" si="8"/>
        <v>225000</v>
      </c>
      <c r="T13" s="129">
        <f t="shared" si="8"/>
        <v>225000</v>
      </c>
      <c r="U13" s="129">
        <f t="shared" si="8"/>
        <v>225000</v>
      </c>
      <c r="V13" s="129">
        <f t="shared" si="8"/>
        <v>225000</v>
      </c>
      <c r="W13" s="129">
        <f t="shared" si="8"/>
        <v>225000</v>
      </c>
      <c r="X13" s="129">
        <f t="shared" si="8"/>
        <v>225000</v>
      </c>
      <c r="Y13" s="129">
        <f t="shared" si="8"/>
        <v>225000</v>
      </c>
      <c r="Z13" s="129">
        <f t="shared" si="8"/>
        <v>225000</v>
      </c>
      <c r="AA13" s="129">
        <f t="shared" si="8"/>
        <v>2700000</v>
      </c>
      <c r="AB13" s="129">
        <f t="shared" si="8"/>
        <v>225000</v>
      </c>
      <c r="AC13" s="129">
        <f t="shared" si="8"/>
        <v>225000</v>
      </c>
      <c r="AD13" s="129">
        <f t="shared" si="8"/>
        <v>225000</v>
      </c>
      <c r="AE13" s="129">
        <f t="shared" si="8"/>
        <v>225000</v>
      </c>
      <c r="AF13" s="129">
        <f t="shared" si="8"/>
        <v>225000</v>
      </c>
      <c r="AG13" s="129">
        <f t="shared" si="8"/>
        <v>225000</v>
      </c>
      <c r="AH13" s="129">
        <f t="shared" si="8"/>
        <v>225000</v>
      </c>
      <c r="AI13" s="129">
        <f t="shared" si="8"/>
        <v>225000</v>
      </c>
      <c r="AJ13" s="129">
        <f t="shared" si="8"/>
        <v>225000</v>
      </c>
      <c r="AK13" s="129">
        <f t="shared" si="8"/>
        <v>225000</v>
      </c>
      <c r="AL13" s="129">
        <f t="shared" si="8"/>
        <v>225000</v>
      </c>
      <c r="AM13" s="129">
        <f t="shared" si="8"/>
        <v>225000</v>
      </c>
      <c r="AN13" s="129">
        <f>+AN11*AN12</f>
        <v>2700000</v>
      </c>
    </row>
    <row r="14" spans="1:40" ht="12.75">
      <c r="A14" s="129"/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1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N14" s="130"/>
    </row>
    <row r="15" spans="1:40" ht="12.75">
      <c r="A15" s="116" t="s">
        <v>92</v>
      </c>
      <c r="B15" s="129">
        <f>-'Net Loss Dollars P12B'!D73</f>
        <v>0</v>
      </c>
      <c r="C15" s="129">
        <f>-'Net Loss Dollars P12B'!E73</f>
        <v>0</v>
      </c>
      <c r="D15" s="129">
        <f>-'Net Loss Dollars P12B'!F73</f>
        <v>0</v>
      </c>
      <c r="E15" s="129">
        <f>-'Net Loss Dollars P12B'!G73</f>
        <v>0</v>
      </c>
      <c r="F15" s="129">
        <f>-'Net Loss Dollars P12B'!H73</f>
        <v>0</v>
      </c>
      <c r="G15" s="129">
        <f>-'Net Loss Dollars P12B'!I73</f>
        <v>0</v>
      </c>
      <c r="H15" s="129">
        <f>-'Net Loss Dollars P12B'!J73</f>
        <v>0</v>
      </c>
      <c r="I15" s="129">
        <f>-'Net Loss Dollars P12B'!K73</f>
        <v>0</v>
      </c>
      <c r="J15" s="129">
        <f>-'Net Loss Dollars P12B'!L73</f>
        <v>0</v>
      </c>
      <c r="K15" s="129">
        <f>-'Net Loss Dollars P12B'!M73</f>
        <v>0</v>
      </c>
      <c r="L15" s="129">
        <f>-'Net Loss Dollars P12B'!N73</f>
        <v>0</v>
      </c>
      <c r="M15" s="129">
        <f>-'Net Loss Dollars P12B'!O73</f>
        <v>0</v>
      </c>
      <c r="N15" s="126">
        <f>SUM(B15:M15)</f>
        <v>0</v>
      </c>
      <c r="O15" s="129">
        <f>-'Net Loss Dollars P12B'!P73</f>
        <v>0</v>
      </c>
      <c r="P15" s="129">
        <f>-'Net Loss Dollars P12B'!Q73</f>
        <v>0</v>
      </c>
      <c r="Q15" s="129">
        <f>-'Net Loss Dollars P12B'!R73</f>
        <v>0</v>
      </c>
      <c r="R15" s="129">
        <f>-'Net Loss Dollars P12B'!S73</f>
        <v>0</v>
      </c>
      <c r="S15" s="129">
        <f>-'Net Loss Dollars P12B'!T73</f>
        <v>0</v>
      </c>
      <c r="T15" s="129">
        <f>-'Net Loss Dollars P12B'!U73</f>
        <v>0</v>
      </c>
      <c r="U15" s="129">
        <f>-'Net Loss Dollars P12B'!V73</f>
        <v>0</v>
      </c>
      <c r="V15" s="129">
        <f>-'Net Loss Dollars P12B'!W73</f>
        <v>0</v>
      </c>
      <c r="W15" s="129">
        <f>-'Net Loss Dollars P12B'!X73</f>
        <v>0</v>
      </c>
      <c r="X15" s="129">
        <f>-'Net Loss Dollars P12B'!Y73</f>
        <v>0</v>
      </c>
      <c r="Y15" s="129">
        <f>IF(X24=0,0,-'Net Loss Dollars P12B'!Z73)</f>
        <v>0</v>
      </c>
      <c r="Z15" s="129">
        <f>IF(Y24=0,0,-'Net Loss Dollars P12B'!AA73)</f>
        <v>0</v>
      </c>
      <c r="AA15" s="126">
        <f>SUM(O15:Z15)</f>
        <v>0</v>
      </c>
      <c r="AB15" s="129">
        <f>-'Net Loss Dollars P12B'!AB73</f>
        <v>0</v>
      </c>
      <c r="AC15" s="129">
        <f>-'Net Loss Dollars P12B'!AC73</f>
        <v>0</v>
      </c>
      <c r="AD15" s="129">
        <f>-'Net Loss Dollars P12B'!AD73</f>
        <v>0</v>
      </c>
      <c r="AE15" s="129">
        <f>-'Net Loss Dollars P12B'!AE73</f>
        <v>0</v>
      </c>
      <c r="AF15" s="129">
        <f>-'Net Loss Dollars P12B'!AF73</f>
        <v>0</v>
      </c>
      <c r="AG15" s="129">
        <f>-'Net Loss Dollars P12B'!AG73</f>
        <v>0</v>
      </c>
      <c r="AH15" s="129">
        <f>-'Net Loss Dollars P12B'!AH73</f>
        <v>0</v>
      </c>
      <c r="AI15" s="129">
        <f>-'Net Loss Dollars P12B'!AI73</f>
        <v>0</v>
      </c>
      <c r="AJ15" s="129">
        <f>-'Net Loss Dollars P12B'!AJ73</f>
        <v>0</v>
      </c>
      <c r="AK15" s="129">
        <f>-'Net Loss Dollars P12B'!AK73</f>
        <v>0</v>
      </c>
      <c r="AL15" s="129">
        <f>-'Net Loss Dollars P12B'!AL73</f>
        <v>0</v>
      </c>
      <c r="AM15" s="129">
        <f>-'Net Loss Dollars P12B'!AM73</f>
        <v>0</v>
      </c>
      <c r="AN15" s="126">
        <f>SUM(AB15:AM15)</f>
        <v>0</v>
      </c>
    </row>
    <row r="16" spans="1:40" ht="12.75">
      <c r="A16" s="116" t="s">
        <v>93</v>
      </c>
      <c r="B16" s="129">
        <f>-'Net Loss Dollars P12B'!D66</f>
        <v>-382</v>
      </c>
      <c r="C16" s="129">
        <f>-'Net Loss Dollars P12B'!E66</f>
        <v>-1353</v>
      </c>
      <c r="D16" s="129">
        <f>-'Net Loss Dollars P12B'!F66</f>
        <v>-3811</v>
      </c>
      <c r="E16" s="129">
        <f>-'Net Loss Dollars P12B'!G66</f>
        <v>-7788</v>
      </c>
      <c r="F16" s="129">
        <f>-'Net Loss Dollars P12B'!H66</f>
        <v>-13543</v>
      </c>
      <c r="G16" s="129">
        <f>-'Net Loss Dollars P12B'!I66</f>
        <v>-18093</v>
      </c>
      <c r="H16" s="129">
        <f>-'Net Loss Dollars P12B'!J66</f>
        <v>-22815</v>
      </c>
      <c r="I16" s="129">
        <f>-'Net Loss Dollars P12B'!K66</f>
        <v>-28357</v>
      </c>
      <c r="J16" s="129">
        <f>-'Net Loss Dollars P12B'!L66</f>
        <v>-32975</v>
      </c>
      <c r="K16" s="129">
        <f>-'Net Loss Dollars P12B'!M66</f>
        <v>-37300</v>
      </c>
      <c r="L16" s="129">
        <f>-'Net Loss Dollars P12B'!N66</f>
        <v>-40542</v>
      </c>
      <c r="M16" s="129">
        <f>-'Net Loss Dollars P12B'!O66</f>
        <v>-43436</v>
      </c>
      <c r="N16" s="126">
        <f>SUM(B16:M16)</f>
        <v>-250395</v>
      </c>
      <c r="O16" s="129">
        <f>-'Net Loss Dollars P12B'!P66</f>
        <v>-45677</v>
      </c>
      <c r="P16" s="129">
        <f>-'Net Loss Dollars P12B'!Q66</f>
        <v>-47212</v>
      </c>
      <c r="Q16" s="129">
        <f>-'Net Loss Dollars P12B'!R66</f>
        <v>-49066</v>
      </c>
      <c r="R16" s="129">
        <f>-'Net Loss Dollars P12B'!S66</f>
        <v>-50501</v>
      </c>
      <c r="S16" s="129">
        <f>-'Net Loss Dollars P12B'!T66</f>
        <v>-51625</v>
      </c>
      <c r="T16" s="129">
        <f>-'Net Loss Dollars P12B'!U66</f>
        <v>-52814</v>
      </c>
      <c r="U16" s="129">
        <f>-'Net Loss Dollars P12B'!V66</f>
        <v>-53359</v>
      </c>
      <c r="V16" s="129">
        <f>-'Net Loss Dollars P12B'!W66</f>
        <v>-53913</v>
      </c>
      <c r="W16" s="129">
        <f>-'Net Loss Dollars P12B'!X66</f>
        <v>-54563</v>
      </c>
      <c r="X16" s="129">
        <f>-'Net Loss Dollars P12B'!Y66</f>
        <v>-54922</v>
      </c>
      <c r="Y16" s="129">
        <f>-'Net Loss Dollars P12B'!Z66</f>
        <v>-55298</v>
      </c>
      <c r="Z16" s="129">
        <f>-'Net Loss Dollars P12B'!AA66</f>
        <v>-55477</v>
      </c>
      <c r="AA16" s="126">
        <f>SUM(O16:Z16)</f>
        <v>-624427</v>
      </c>
      <c r="AB16" s="129">
        <f>-'Net Loss Dollars P12B'!AB66</f>
        <v>-55647</v>
      </c>
      <c r="AC16" s="129">
        <f>-'Net Loss Dollars P12B'!AC66</f>
        <v>-55773</v>
      </c>
      <c r="AD16" s="129">
        <f>-'Net Loss Dollars P12B'!AD66</f>
        <v>-55852</v>
      </c>
      <c r="AE16" s="129">
        <f>-'Net Loss Dollars P12B'!AE66</f>
        <v>-56005</v>
      </c>
      <c r="AF16" s="129">
        <f>-'Net Loss Dollars P12B'!AF66</f>
        <v>-56121</v>
      </c>
      <c r="AG16" s="129">
        <f>-'Net Loss Dollars P12B'!AG66</f>
        <v>-56165</v>
      </c>
      <c r="AH16" s="129">
        <f>-'Net Loss Dollars P12B'!AH66</f>
        <v>-56219</v>
      </c>
      <c r="AI16" s="129">
        <f>-'Net Loss Dollars P12B'!AI66</f>
        <v>-56249</v>
      </c>
      <c r="AJ16" s="129">
        <f>-'Net Loss Dollars P12B'!AJ66</f>
        <v>-56249</v>
      </c>
      <c r="AK16" s="129">
        <f>-'Net Loss Dollars P12B'!AK66</f>
        <v>-56249</v>
      </c>
      <c r="AL16" s="129">
        <f>-'Net Loss Dollars P12B'!AL66</f>
        <v>-56249</v>
      </c>
      <c r="AM16" s="129">
        <f>-'Net Loss Dollars P12B'!AM66</f>
        <v>-56250</v>
      </c>
      <c r="AN16" s="126">
        <f>SUM(AB16:AM16)</f>
        <v>-673028</v>
      </c>
    </row>
    <row r="17" spans="2:40" ht="12.75"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N17" s="130"/>
    </row>
    <row r="18" spans="1:40" ht="12.75">
      <c r="A18" s="116" t="s">
        <v>94</v>
      </c>
      <c r="B18" s="129">
        <f>-'P&amp;I Pmts-previous notes'!B9</f>
        <v>0</v>
      </c>
      <c r="C18" s="129">
        <f>-'P&amp;I Pmts-previous notes'!C9</f>
        <v>0</v>
      </c>
      <c r="D18" s="129">
        <f>-'P&amp;I Pmts-previous notes'!D9</f>
        <v>0</v>
      </c>
      <c r="E18" s="129">
        <f>-'P&amp;I Pmts-previous notes'!E9</f>
        <v>0</v>
      </c>
      <c r="F18" s="129">
        <f>-'P&amp;I Pmts-previous notes'!F9</f>
        <v>0</v>
      </c>
      <c r="G18" s="129">
        <f>-'P&amp;I Pmts-previous notes'!G9</f>
        <v>0</v>
      </c>
      <c r="H18" s="129">
        <f>-'P&amp;I Pmts-previous notes'!H9</f>
        <v>0</v>
      </c>
      <c r="I18" s="129">
        <f>-'P&amp;I Pmts-previous notes'!I9</f>
        <v>0</v>
      </c>
      <c r="J18" s="129">
        <f>-'P&amp;I Pmts-previous notes'!J9</f>
        <v>0</v>
      </c>
      <c r="K18" s="129">
        <f>-'P&amp;I Pmts-previous notes'!K9</f>
        <v>0</v>
      </c>
      <c r="L18" s="129">
        <f>-'P&amp;I Pmts-previous notes'!L9</f>
        <v>0</v>
      </c>
      <c r="M18" s="129">
        <f>-'P&amp;I Pmts-previous notes'!M9</f>
        <v>0</v>
      </c>
      <c r="N18" s="132">
        <f>SUM(B18:M18)</f>
        <v>0</v>
      </c>
      <c r="O18" s="129">
        <f>-'P&amp;I Pmts-previous notes'!N9</f>
        <v>0</v>
      </c>
      <c r="P18" s="129">
        <f>-'P&amp;I Pmts-previous notes'!O9</f>
        <v>0</v>
      </c>
      <c r="Q18" s="129">
        <f>-'P&amp;I Pmts-previous notes'!P9</f>
        <v>0</v>
      </c>
      <c r="R18" s="129">
        <f>-'P&amp;I Pmts-previous notes'!Q9</f>
        <v>0</v>
      </c>
      <c r="S18" s="129">
        <f>-'P&amp;I Pmts-previous notes'!R9</f>
        <v>0</v>
      </c>
      <c r="T18" s="129">
        <f>-'P&amp;I Pmts-previous notes'!S9</f>
        <v>0</v>
      </c>
      <c r="U18" s="129">
        <f>-'P&amp;I Pmts-previous notes'!T9</f>
        <v>0</v>
      </c>
      <c r="V18" s="129">
        <f>-'P&amp;I Pmts-previous notes'!U9</f>
        <v>0</v>
      </c>
      <c r="W18" s="129">
        <f>-'P&amp;I Pmts-previous notes'!V9</f>
        <v>0</v>
      </c>
      <c r="X18" s="129">
        <f>-'P&amp;I Pmts-previous notes'!W9</f>
        <v>0</v>
      </c>
      <c r="Y18" s="129">
        <f>-'P&amp;I Pmts-previous notes'!X9</f>
        <v>0</v>
      </c>
      <c r="Z18" s="129">
        <f>-'P&amp;I Pmts-previous notes'!Y9</f>
        <v>0</v>
      </c>
      <c r="AA18" s="132">
        <f>SUM(O18:Z18)</f>
        <v>0</v>
      </c>
      <c r="AB18" s="129">
        <f>-'P&amp;I Pmts-previous notes'!Z9</f>
        <v>0</v>
      </c>
      <c r="AC18" s="129">
        <f>-'P&amp;I Pmts-previous notes'!AA9</f>
        <v>0</v>
      </c>
      <c r="AD18" s="129">
        <f>-'P&amp;I Pmts-previous notes'!AB9</f>
        <v>0</v>
      </c>
      <c r="AE18" s="129">
        <f>-'P&amp;I Pmts-previous notes'!AC9</f>
        <v>0</v>
      </c>
      <c r="AF18" s="129">
        <f>-'P&amp;I Pmts-previous notes'!AD9</f>
        <v>0</v>
      </c>
      <c r="AG18" s="129">
        <f>-'P&amp;I Pmts-previous notes'!AE9</f>
        <v>0</v>
      </c>
      <c r="AH18" s="129">
        <f>-'P&amp;I Pmts-previous notes'!AF9</f>
        <v>0</v>
      </c>
      <c r="AI18" s="129">
        <f>-'P&amp;I Pmts-previous notes'!AG9</f>
        <v>0</v>
      </c>
      <c r="AJ18" s="129">
        <f>-'P&amp;I Pmts-previous notes'!AH9</f>
        <v>0</v>
      </c>
      <c r="AK18" s="129">
        <f>-'P&amp;I Pmts-previous notes'!AI9</f>
        <v>0</v>
      </c>
      <c r="AL18" s="129">
        <f>-'P&amp;I Pmts-previous notes'!AJ9</f>
        <v>0</v>
      </c>
      <c r="AM18" s="129">
        <f>-'P&amp;I Pmts-previous notes'!AK9</f>
        <v>0</v>
      </c>
      <c r="AN18" s="132">
        <f>SUM(AB18:AM18)</f>
        <v>0</v>
      </c>
    </row>
    <row r="19" spans="1:40" ht="12.75">
      <c r="A19" s="116" t="s">
        <v>95</v>
      </c>
      <c r="B19" s="132">
        <f>-'P&amp;I Pmts-new notes'!B9</f>
        <v>-4283.1</v>
      </c>
      <c r="C19" s="132">
        <f>-'P&amp;I Pmts-new notes'!C11</f>
        <v>-8868.05</v>
      </c>
      <c r="D19" s="132">
        <f>-'P&amp;I Pmts-new notes'!D11</f>
        <v>-13760.199999999999</v>
      </c>
      <c r="E19" s="132">
        <f>-'P&amp;I Pmts-new notes'!E11</f>
        <v>-18725.25</v>
      </c>
      <c r="F19" s="132">
        <f>-'P&amp;I Pmts-new notes'!F11</f>
        <v>-23765.1</v>
      </c>
      <c r="G19" s="132">
        <f>-'P&amp;I Pmts-new notes'!G11</f>
        <v>-28880.75</v>
      </c>
      <c r="H19" s="132">
        <f>-'P&amp;I Pmts-new notes'!H11</f>
        <v>-34073.25</v>
      </c>
      <c r="I19" s="132">
        <f>-'P&amp;I Pmts-new notes'!I11</f>
        <v>-39343.6</v>
      </c>
      <c r="J19" s="132">
        <f>-'P&amp;I Pmts-new notes'!J11</f>
        <v>-44692.8</v>
      </c>
      <c r="K19" s="132">
        <f>-'P&amp;I Pmts-new notes'!K11</f>
        <v>-50121.850000000006</v>
      </c>
      <c r="L19" s="132">
        <f>-'P&amp;I Pmts-new notes'!L11</f>
        <v>-55632.65000000001</v>
      </c>
      <c r="M19" s="132">
        <f>-'P&amp;I Pmts-new notes'!M11</f>
        <v>-61226.25000000001</v>
      </c>
      <c r="N19" s="132">
        <f>SUM(B19:M19)</f>
        <v>-383372.8500000001</v>
      </c>
      <c r="O19" s="132">
        <f>-'P&amp;I Pmts-new notes'!N11</f>
        <v>-66903.70000000001</v>
      </c>
      <c r="P19" s="132">
        <f>-'P&amp;I Pmts-new notes'!O11</f>
        <v>-72666.00000000001</v>
      </c>
      <c r="Q19" s="132">
        <f>-'P&amp;I Pmts-new notes'!P11</f>
        <v>-78515.05000000002</v>
      </c>
      <c r="R19" s="132">
        <f>-'P&amp;I Pmts-new notes'!Q11</f>
        <v>-84451.90000000002</v>
      </c>
      <c r="S19" s="132">
        <f>-'P&amp;I Pmts-new notes'!R11</f>
        <v>-90477.60000000002</v>
      </c>
      <c r="T19" s="132">
        <f>-'P&amp;I Pmts-new notes'!S11</f>
        <v>-96594.05000000002</v>
      </c>
      <c r="U19" s="132">
        <f>-'P&amp;I Pmts-new notes'!T11</f>
        <v>-102802.30000000002</v>
      </c>
      <c r="V19" s="132">
        <f>-'P&amp;I Pmts-new notes'!U11</f>
        <v>-109103.40000000002</v>
      </c>
      <c r="W19" s="132">
        <f>-'P&amp;I Pmts-new notes'!V11</f>
        <v>-115499.25000000003</v>
      </c>
      <c r="X19" s="132">
        <f>-'P&amp;I Pmts-new notes'!W11</f>
        <v>-121990.90000000002</v>
      </c>
      <c r="Y19" s="132">
        <f>-'P&amp;I Pmts-new notes'!X11</f>
        <v>-128579.40000000002</v>
      </c>
      <c r="Z19" s="132">
        <f>-'P&amp;I Pmts-new notes'!Y11</f>
        <v>-135266.65000000002</v>
      </c>
      <c r="AA19" s="132">
        <f>SUM(O19:Z19)</f>
        <v>-1202850.2000000002</v>
      </c>
      <c r="AB19" s="132">
        <f>-'P&amp;I Pmts-new notes'!Z11</f>
        <v>-142054.60000000003</v>
      </c>
      <c r="AC19" s="132">
        <f>-'P&amp;I Pmts-new notes'!AA11</f>
        <v>-148944.35000000003</v>
      </c>
      <c r="AD19" s="132">
        <f>-'P&amp;I Pmts-new notes'!AB11</f>
        <v>-155937.85000000003</v>
      </c>
      <c r="AE19" s="132">
        <f>-'P&amp;I Pmts-new notes'!AC11</f>
        <v>-163036.15000000002</v>
      </c>
      <c r="AF19" s="132">
        <f>-'P&amp;I Pmts-new notes'!AD11</f>
        <v>-170240.30000000002</v>
      </c>
      <c r="AG19" s="132">
        <f>-'P&amp;I Pmts-new notes'!AE11</f>
        <v>-177553.1</v>
      </c>
      <c r="AH19" s="132">
        <f>-'P&amp;I Pmts-new notes'!AF11</f>
        <v>-184975.65</v>
      </c>
      <c r="AI19" s="132">
        <f>-'P&amp;I Pmts-new notes'!AG11</f>
        <v>-192509.05</v>
      </c>
      <c r="AJ19" s="132">
        <f>-'P&amp;I Pmts-new notes'!AH11</f>
        <v>-200156.09999999998</v>
      </c>
      <c r="AK19" s="132">
        <f>-'P&amp;I Pmts-new notes'!AI11</f>
        <v>-207916.99999999997</v>
      </c>
      <c r="AL19" s="132">
        <f>-'P&amp;I Pmts-new notes'!AJ11</f>
        <v>-215794.59999999998</v>
      </c>
      <c r="AM19" s="132">
        <f>-'P&amp;I Pmts-new notes'!AK11</f>
        <v>-223802.55</v>
      </c>
      <c r="AN19" s="132">
        <f>SUM(AB19:AM19)</f>
        <v>-2182921.3000000003</v>
      </c>
    </row>
    <row r="20" spans="1:40" ht="12.75">
      <c r="A20" s="116" t="s">
        <v>140</v>
      </c>
      <c r="B20" s="132">
        <f aca="true" t="shared" si="9" ref="B20:M20">-B15</f>
        <v>0</v>
      </c>
      <c r="C20" s="132">
        <f t="shared" si="9"/>
        <v>0</v>
      </c>
      <c r="D20" s="132">
        <f t="shared" si="9"/>
        <v>0</v>
      </c>
      <c r="E20" s="132">
        <f t="shared" si="9"/>
        <v>0</v>
      </c>
      <c r="F20" s="132">
        <f t="shared" si="9"/>
        <v>0</v>
      </c>
      <c r="G20" s="132">
        <f t="shared" si="9"/>
        <v>0</v>
      </c>
      <c r="H20" s="132">
        <f t="shared" si="9"/>
        <v>0</v>
      </c>
      <c r="I20" s="132">
        <f t="shared" si="9"/>
        <v>0</v>
      </c>
      <c r="J20" s="132">
        <f t="shared" si="9"/>
        <v>0</v>
      </c>
      <c r="K20" s="132">
        <f t="shared" si="9"/>
        <v>0</v>
      </c>
      <c r="L20" s="132">
        <f t="shared" si="9"/>
        <v>0</v>
      </c>
      <c r="M20" s="132">
        <f t="shared" si="9"/>
        <v>0</v>
      </c>
      <c r="N20" s="132">
        <f>SUM(B20:M20)</f>
        <v>0</v>
      </c>
      <c r="O20" s="132">
        <f aca="true" t="shared" si="10" ref="O20:Z20">-O15</f>
        <v>0</v>
      </c>
      <c r="P20" s="132">
        <f t="shared" si="10"/>
        <v>0</v>
      </c>
      <c r="Q20" s="132">
        <f t="shared" si="10"/>
        <v>0</v>
      </c>
      <c r="R20" s="132">
        <f t="shared" si="10"/>
        <v>0</v>
      </c>
      <c r="S20" s="132">
        <f t="shared" si="10"/>
        <v>0</v>
      </c>
      <c r="T20" s="132">
        <f t="shared" si="10"/>
        <v>0</v>
      </c>
      <c r="U20" s="132">
        <f t="shared" si="10"/>
        <v>0</v>
      </c>
      <c r="V20" s="132">
        <f t="shared" si="10"/>
        <v>0</v>
      </c>
      <c r="W20" s="132">
        <f t="shared" si="10"/>
        <v>0</v>
      </c>
      <c r="X20" s="132">
        <f t="shared" si="10"/>
        <v>0</v>
      </c>
      <c r="Y20" s="132">
        <f t="shared" si="10"/>
        <v>0</v>
      </c>
      <c r="Z20" s="132">
        <f t="shared" si="10"/>
        <v>0</v>
      </c>
      <c r="AA20" s="132">
        <f>SUM(O20:Z20)</f>
        <v>0</v>
      </c>
      <c r="AB20" s="132">
        <f aca="true" t="shared" si="11" ref="AB20:AM20">-AB15</f>
        <v>0</v>
      </c>
      <c r="AC20" s="132">
        <f t="shared" si="11"/>
        <v>0</v>
      </c>
      <c r="AD20" s="132">
        <f t="shared" si="11"/>
        <v>0</v>
      </c>
      <c r="AE20" s="132">
        <f t="shared" si="11"/>
        <v>0</v>
      </c>
      <c r="AF20" s="132">
        <f t="shared" si="11"/>
        <v>0</v>
      </c>
      <c r="AG20" s="132">
        <f t="shared" si="11"/>
        <v>0</v>
      </c>
      <c r="AH20" s="132">
        <f t="shared" si="11"/>
        <v>0</v>
      </c>
      <c r="AI20" s="132">
        <f t="shared" si="11"/>
        <v>0</v>
      </c>
      <c r="AJ20" s="132">
        <f t="shared" si="11"/>
        <v>0</v>
      </c>
      <c r="AK20" s="132">
        <f t="shared" si="11"/>
        <v>0</v>
      </c>
      <c r="AL20" s="132">
        <f t="shared" si="11"/>
        <v>0</v>
      </c>
      <c r="AM20" s="132">
        <f t="shared" si="11"/>
        <v>0</v>
      </c>
      <c r="AN20" s="132">
        <f>SUM(AB20:AM20)</f>
        <v>0</v>
      </c>
    </row>
    <row r="21" spans="1:40" ht="12.75">
      <c r="A21" s="122" t="s">
        <v>96</v>
      </c>
      <c r="B21" s="121">
        <f>IF(B16&lt;&gt;0,ROUND(-B19*Assumptions!$C$29,0),0)</f>
        <v>1071</v>
      </c>
      <c r="C21" s="121">
        <f>IF(C16&lt;&gt;0,ROUND(-C19*Assumptions!$C$29,0),0)</f>
        <v>2217</v>
      </c>
      <c r="D21" s="121">
        <f>IF(D16&lt;&gt;0,ROUND(-D19*Assumptions!$C$29,0),0)</f>
        <v>3440</v>
      </c>
      <c r="E21" s="121">
        <f>IF(E16&lt;&gt;0,ROUND(-E19*Assumptions!$C$29,0),0)</f>
        <v>4681</v>
      </c>
      <c r="F21" s="121">
        <f>IF(F16&lt;&gt;0,ROUND(-F19*Assumptions!$C$29,0),0)</f>
        <v>5941</v>
      </c>
      <c r="G21" s="121">
        <f>IF(G16&lt;&gt;0,ROUND(-G19*Assumptions!$C$29,0),0)</f>
        <v>7220</v>
      </c>
      <c r="H21" s="121">
        <f>IF(H16&lt;&gt;0,ROUND(-H19*Assumptions!$C$29,0),0)</f>
        <v>8518</v>
      </c>
      <c r="I21" s="121">
        <f>IF(I16&lt;&gt;0,ROUND(-I19*Assumptions!$C$29,0),0)</f>
        <v>9836</v>
      </c>
      <c r="J21" s="121">
        <f>IF(J16&lt;&gt;0,ROUND(-J19*Assumptions!$C$29,0),0)</f>
        <v>11173</v>
      </c>
      <c r="K21" s="121">
        <f>IF(K16&lt;&gt;0,ROUND(-K19*Assumptions!$C$29,0),0)</f>
        <v>12530</v>
      </c>
      <c r="L21" s="121">
        <f>IF(L16&lt;&gt;0,ROUND(-L19*Assumptions!$C$29,0),0)</f>
        <v>13908</v>
      </c>
      <c r="M21" s="121">
        <f>IF(M16&lt;&gt;0,ROUND(-M19*Assumptions!$C$29,0),0)</f>
        <v>15307</v>
      </c>
      <c r="N21" s="132">
        <f>SUM(B21:M21)</f>
        <v>95842</v>
      </c>
      <c r="O21" s="121">
        <f>IF(O16&lt;&gt;0,ROUND(-O19*Assumptions!$C$29,0),0)</f>
        <v>16726</v>
      </c>
      <c r="P21" s="121">
        <f>IF(P16&lt;&gt;0,ROUND(-P19*Assumptions!$C$29,0),0)</f>
        <v>18167</v>
      </c>
      <c r="Q21" s="121">
        <f>IF(Q16&lt;&gt;0,ROUND(-Q19*Assumptions!$C$29,0),0)</f>
        <v>19629</v>
      </c>
      <c r="R21" s="121">
        <f>IF(R16&lt;&gt;0,ROUND(-R19*Assumptions!$C$29,0),0)</f>
        <v>21113</v>
      </c>
      <c r="S21" s="121">
        <f>IF(S16&lt;&gt;0,ROUND(-S19*Assumptions!$C$29,0),0)</f>
        <v>22619</v>
      </c>
      <c r="T21" s="121">
        <f>IF(T16&lt;&gt;0,ROUND(-T19*Assumptions!$C$29,0),0)</f>
        <v>24149</v>
      </c>
      <c r="U21" s="121">
        <f>IF(U16&lt;&gt;0,ROUND(-U19*Assumptions!$C$29,0),0)</f>
        <v>25701</v>
      </c>
      <c r="V21" s="121">
        <f>IF(V16&lt;&gt;0,ROUND(-V19*Assumptions!$C$29,0),0)</f>
        <v>27276</v>
      </c>
      <c r="W21" s="121">
        <f>IF(W16&lt;&gt;0,ROUND(-W19*Assumptions!$C$29,0),0)</f>
        <v>28875</v>
      </c>
      <c r="X21" s="121">
        <f>IF(X16&lt;&gt;0,ROUND(-X19*Assumptions!$C$29,0),0)</f>
        <v>30498</v>
      </c>
      <c r="Y21" s="121">
        <f>IF(Y16&lt;&gt;0,ROUND(-Y19*Assumptions!$C$29,0),0)</f>
        <v>32145</v>
      </c>
      <c r="Z21" s="121">
        <f>IF(Z16&lt;&gt;0,ROUND(-Z19*Assumptions!$C$29,0),0)</f>
        <v>33817</v>
      </c>
      <c r="AA21" s="132">
        <f>SUM(O21:Z21)</f>
        <v>300715</v>
      </c>
      <c r="AB21" s="121">
        <f>IF(AB16&lt;&gt;0,ROUND(-AB19*Assumptions!$C$29,0),0)</f>
        <v>35514</v>
      </c>
      <c r="AC21" s="121">
        <f>IF(AC16&lt;&gt;0,ROUND(-AC19*Assumptions!$C$29,0),0)</f>
        <v>37236</v>
      </c>
      <c r="AD21" s="121">
        <f>IF(AD16&lt;&gt;0,ROUND(-AD19*Assumptions!$C$29,0),0)</f>
        <v>38984</v>
      </c>
      <c r="AE21" s="121">
        <f>IF(AE16&lt;&gt;0,ROUND(-AE19*Assumptions!$C$29,0),0)</f>
        <v>40759</v>
      </c>
      <c r="AF21" s="121">
        <f>IF(AF16&lt;&gt;0,ROUND(-AF19*Assumptions!$C$29,0),0)</f>
        <v>42560</v>
      </c>
      <c r="AG21" s="121">
        <f>IF(AG16&lt;&gt;0,ROUND(-AG19*Assumptions!$C$29,0),0)</f>
        <v>44388</v>
      </c>
      <c r="AH21" s="121">
        <f>IF(AH16&lt;&gt;0,ROUND(-AH19*Assumptions!$C$29,0),0)</f>
        <v>46244</v>
      </c>
      <c r="AI21" s="121">
        <f>IF(AI16&lt;&gt;0,ROUND(-AI19*Assumptions!$C$29,0),0)</f>
        <v>48127</v>
      </c>
      <c r="AJ21" s="121">
        <f>IF(AJ16&lt;&gt;0,ROUND(-AJ19*Assumptions!$C$29,0),0)</f>
        <v>50039</v>
      </c>
      <c r="AK21" s="121">
        <f>IF(AK16&lt;&gt;0,ROUND(-AK19*Assumptions!$C$29,0),0)</f>
        <v>51979</v>
      </c>
      <c r="AL21" s="121">
        <f>IF(AL16&lt;&gt;0,ROUND(-AL19*Assumptions!$C$29,0),0)</f>
        <v>53949</v>
      </c>
      <c r="AM21" s="121">
        <f>IF(AM16&lt;&gt;0,ROUND(-AM19*Assumptions!$C$29,0),0)</f>
        <v>55951</v>
      </c>
      <c r="AN21" s="132">
        <f>SUM(AB21:AM21)</f>
        <v>545730</v>
      </c>
    </row>
    <row r="22" spans="1:40" ht="12.75">
      <c r="A22" s="116" t="s">
        <v>97</v>
      </c>
      <c r="B22" s="133">
        <f>SUM(B18:B21)</f>
        <v>-3212.1000000000004</v>
      </c>
      <c r="C22" s="133">
        <f aca="true" t="shared" si="12" ref="C22:AM22">SUM(C18:C21)</f>
        <v>-6651.049999999999</v>
      </c>
      <c r="D22" s="133">
        <f t="shared" si="12"/>
        <v>-10320.199999999999</v>
      </c>
      <c r="E22" s="133">
        <f t="shared" si="12"/>
        <v>-14044.25</v>
      </c>
      <c r="F22" s="133">
        <f t="shared" si="12"/>
        <v>-17824.1</v>
      </c>
      <c r="G22" s="133">
        <f t="shared" si="12"/>
        <v>-21660.75</v>
      </c>
      <c r="H22" s="133">
        <f t="shared" si="12"/>
        <v>-25555.25</v>
      </c>
      <c r="I22" s="133">
        <f>SUM(I18:I21)</f>
        <v>-29507.6</v>
      </c>
      <c r="J22" s="133">
        <f t="shared" si="12"/>
        <v>-33519.8</v>
      </c>
      <c r="K22" s="133">
        <f t="shared" si="12"/>
        <v>-37591.850000000006</v>
      </c>
      <c r="L22" s="133">
        <f t="shared" si="12"/>
        <v>-41724.65000000001</v>
      </c>
      <c r="M22" s="133">
        <f>SUM(M18:M21)</f>
        <v>-45919.25000000001</v>
      </c>
      <c r="N22" s="133">
        <f t="shared" si="12"/>
        <v>-287530.8500000001</v>
      </c>
      <c r="O22" s="133">
        <f t="shared" si="12"/>
        <v>-50177.70000000001</v>
      </c>
      <c r="P22" s="133">
        <f t="shared" si="12"/>
        <v>-54499.000000000015</v>
      </c>
      <c r="Q22" s="133">
        <f t="shared" si="12"/>
        <v>-58886.05000000002</v>
      </c>
      <c r="R22" s="133">
        <f t="shared" si="12"/>
        <v>-63338.90000000002</v>
      </c>
      <c r="S22" s="133">
        <f t="shared" si="12"/>
        <v>-67858.60000000002</v>
      </c>
      <c r="T22" s="133">
        <f t="shared" si="12"/>
        <v>-72445.05000000002</v>
      </c>
      <c r="U22" s="133">
        <f t="shared" si="12"/>
        <v>-77101.30000000002</v>
      </c>
      <c r="V22" s="133">
        <f t="shared" si="12"/>
        <v>-81827.40000000002</v>
      </c>
      <c r="W22" s="133">
        <f t="shared" si="12"/>
        <v>-86624.25000000003</v>
      </c>
      <c r="X22" s="133">
        <f t="shared" si="12"/>
        <v>-91492.90000000002</v>
      </c>
      <c r="Y22" s="133">
        <f t="shared" si="12"/>
        <v>-96434.40000000002</v>
      </c>
      <c r="Z22" s="133">
        <f t="shared" si="12"/>
        <v>-101449.65000000002</v>
      </c>
      <c r="AA22" s="133">
        <f t="shared" si="12"/>
        <v>-902135.2000000002</v>
      </c>
      <c r="AB22" s="133">
        <f t="shared" si="12"/>
        <v>-106540.60000000003</v>
      </c>
      <c r="AC22" s="133">
        <f t="shared" si="12"/>
        <v>-111708.35000000003</v>
      </c>
      <c r="AD22" s="133">
        <f t="shared" si="12"/>
        <v>-116953.85000000003</v>
      </c>
      <c r="AE22" s="133">
        <f t="shared" si="12"/>
        <v>-122277.15000000002</v>
      </c>
      <c r="AF22" s="133">
        <f>SUM(AF18:AF21)</f>
        <v>-127680.30000000002</v>
      </c>
      <c r="AG22" s="133">
        <f t="shared" si="12"/>
        <v>-133165.1</v>
      </c>
      <c r="AH22" s="133">
        <f t="shared" si="12"/>
        <v>-138731.65</v>
      </c>
      <c r="AI22" s="133">
        <f t="shared" si="12"/>
        <v>-144382.05</v>
      </c>
      <c r="AJ22" s="133">
        <f t="shared" si="12"/>
        <v>-150117.09999999998</v>
      </c>
      <c r="AK22" s="133">
        <f t="shared" si="12"/>
        <v>-155937.99999999997</v>
      </c>
      <c r="AL22" s="133">
        <f t="shared" si="12"/>
        <v>-161845.59999999998</v>
      </c>
      <c r="AM22" s="133">
        <f t="shared" si="12"/>
        <v>-167851.55</v>
      </c>
      <c r="AN22" s="133">
        <f>SUM(AN18:AN21)</f>
        <v>-1637191.3000000003</v>
      </c>
    </row>
    <row r="23" spans="1:40" ht="12.75">
      <c r="A23" s="134"/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N23" s="130"/>
    </row>
    <row r="24" spans="1:40" ht="12.75">
      <c r="A24" s="134" t="s">
        <v>98</v>
      </c>
      <c r="B24" s="129">
        <f>Assumptions!C32+B15+B18+B20</f>
        <v>0</v>
      </c>
      <c r="C24" s="129">
        <f aca="true" t="shared" si="13" ref="C24:O24">B24+C15+C18+C20</f>
        <v>0</v>
      </c>
      <c r="D24" s="129">
        <f t="shared" si="13"/>
        <v>0</v>
      </c>
      <c r="E24" s="129">
        <f t="shared" si="13"/>
        <v>0</v>
      </c>
      <c r="F24" s="129">
        <f t="shared" si="13"/>
        <v>0</v>
      </c>
      <c r="G24" s="129">
        <f t="shared" si="13"/>
        <v>0</v>
      </c>
      <c r="H24" s="129">
        <f t="shared" si="13"/>
        <v>0</v>
      </c>
      <c r="I24" s="129">
        <f t="shared" si="13"/>
        <v>0</v>
      </c>
      <c r="J24" s="129">
        <f t="shared" si="13"/>
        <v>0</v>
      </c>
      <c r="K24" s="129">
        <f t="shared" si="13"/>
        <v>0</v>
      </c>
      <c r="L24" s="129">
        <f t="shared" si="13"/>
        <v>0</v>
      </c>
      <c r="M24" s="129">
        <f t="shared" si="13"/>
        <v>0</v>
      </c>
      <c r="N24" s="129">
        <f>M24</f>
        <v>0</v>
      </c>
      <c r="O24" s="129">
        <f t="shared" si="13"/>
        <v>0</v>
      </c>
      <c r="P24" s="129">
        <f aca="true" t="shared" si="14" ref="P24:W24">O24+P15+P18+P20</f>
        <v>0</v>
      </c>
      <c r="Q24" s="129">
        <f t="shared" si="14"/>
        <v>0</v>
      </c>
      <c r="R24" s="129">
        <f t="shared" si="14"/>
        <v>0</v>
      </c>
      <c r="S24" s="129">
        <f t="shared" si="14"/>
        <v>0</v>
      </c>
      <c r="T24" s="129">
        <f>S24+T15+T18+T20</f>
        <v>0</v>
      </c>
      <c r="U24" s="129">
        <f t="shared" si="14"/>
        <v>0</v>
      </c>
      <c r="V24" s="129">
        <f t="shared" si="14"/>
        <v>0</v>
      </c>
      <c r="W24" s="129">
        <f t="shared" si="14"/>
        <v>0</v>
      </c>
      <c r="X24" s="129">
        <f>ROUND(W24+X15+X18+X20,0)</f>
        <v>0</v>
      </c>
      <c r="Y24" s="129">
        <f>ROUND(X24+Y15+Y18+Y20,0)</f>
        <v>0</v>
      </c>
      <c r="Z24" s="129">
        <f>ROUND(Y24+Z15+Z18+Z20,0)</f>
        <v>0</v>
      </c>
      <c r="AA24" s="121">
        <f>ROUND(N24+AA15+AA18+AA20,0)</f>
        <v>0</v>
      </c>
      <c r="AB24" s="129">
        <f>ROUND(Z24+AB15+AB18+AB20,0)</f>
        <v>0</v>
      </c>
      <c r="AC24" s="129">
        <f aca="true" t="shared" si="15" ref="AC24:AM24">ROUND(AB24+AC15+AC18+AC20,0)</f>
        <v>0</v>
      </c>
      <c r="AD24" s="129">
        <f t="shared" si="15"/>
        <v>0</v>
      </c>
      <c r="AE24" s="129">
        <f t="shared" si="15"/>
        <v>0</v>
      </c>
      <c r="AF24" s="129">
        <f t="shared" si="15"/>
        <v>0</v>
      </c>
      <c r="AG24" s="129">
        <f t="shared" si="15"/>
        <v>0</v>
      </c>
      <c r="AH24" s="129">
        <f t="shared" si="15"/>
        <v>0</v>
      </c>
      <c r="AI24" s="129">
        <f t="shared" si="15"/>
        <v>0</v>
      </c>
      <c r="AJ24" s="129">
        <f t="shared" si="15"/>
        <v>0</v>
      </c>
      <c r="AK24" s="129">
        <f t="shared" si="15"/>
        <v>0</v>
      </c>
      <c r="AL24" s="129">
        <f t="shared" si="15"/>
        <v>0</v>
      </c>
      <c r="AM24" s="129">
        <f t="shared" si="15"/>
        <v>0</v>
      </c>
      <c r="AN24" s="129">
        <f>AM24</f>
        <v>0</v>
      </c>
    </row>
    <row r="25" spans="1:40" ht="12.75">
      <c r="A25" s="116" t="s">
        <v>99</v>
      </c>
      <c r="B25" s="121">
        <f>B13+B16+B19+B21</f>
        <v>221405.9</v>
      </c>
      <c r="C25" s="121">
        <f aca="true" t="shared" si="16" ref="C25:M25">B25+C21+C19+C16+C13</f>
        <v>438401.85</v>
      </c>
      <c r="D25" s="121">
        <f t="shared" si="16"/>
        <v>649270.6499999999</v>
      </c>
      <c r="E25" s="121">
        <f t="shared" si="16"/>
        <v>852438.3999999999</v>
      </c>
      <c r="F25" s="121">
        <f t="shared" si="16"/>
        <v>1046071.2999999999</v>
      </c>
      <c r="G25" s="121">
        <f t="shared" si="16"/>
        <v>1231317.5499999998</v>
      </c>
      <c r="H25" s="121">
        <f t="shared" si="16"/>
        <v>1407947.2999999998</v>
      </c>
      <c r="I25" s="121">
        <f t="shared" si="16"/>
        <v>1575082.6999999997</v>
      </c>
      <c r="J25" s="121">
        <f t="shared" si="16"/>
        <v>1733587.8999999997</v>
      </c>
      <c r="K25" s="121">
        <f t="shared" si="16"/>
        <v>1883696.0499999996</v>
      </c>
      <c r="L25" s="121">
        <f t="shared" si="16"/>
        <v>2026429.3999999997</v>
      </c>
      <c r="M25" s="121">
        <f t="shared" si="16"/>
        <v>2162074.1499999994</v>
      </c>
      <c r="N25" s="121">
        <f>N13+N16+N19+N21</f>
        <v>2162074.15</v>
      </c>
      <c r="O25" s="121">
        <f>M25+O13+O16+O19+O21</f>
        <v>2291219.4499999993</v>
      </c>
      <c r="P25" s="121">
        <f aca="true" t="shared" si="17" ref="P25:AB25">O25+P21+P19+P16+P13</f>
        <v>2414508.4499999993</v>
      </c>
      <c r="Q25" s="121">
        <f t="shared" si="17"/>
        <v>2531556.3999999994</v>
      </c>
      <c r="R25" s="121">
        <f t="shared" si="17"/>
        <v>2642716.4999999995</v>
      </c>
      <c r="S25" s="121">
        <f t="shared" si="17"/>
        <v>2748232.8999999994</v>
      </c>
      <c r="T25" s="121">
        <f t="shared" si="17"/>
        <v>2847973.8499999996</v>
      </c>
      <c r="U25" s="121">
        <f t="shared" si="17"/>
        <v>2942513.55</v>
      </c>
      <c r="V25" s="121">
        <f t="shared" si="17"/>
        <v>3031773.15</v>
      </c>
      <c r="W25" s="121">
        <f t="shared" si="17"/>
        <v>3115585.9</v>
      </c>
      <c r="X25" s="121">
        <f t="shared" si="17"/>
        <v>3194171</v>
      </c>
      <c r="Y25" s="121">
        <f t="shared" si="17"/>
        <v>3267438.6</v>
      </c>
      <c r="Z25" s="121">
        <f t="shared" si="17"/>
        <v>3335511.95</v>
      </c>
      <c r="AA25" s="121">
        <f>N25+AA13+AA16+AA19+AA21</f>
        <v>3335511.95</v>
      </c>
      <c r="AB25" s="121">
        <f t="shared" si="17"/>
        <v>3398324.35</v>
      </c>
      <c r="AC25" s="121">
        <f aca="true" t="shared" si="18" ref="AC25:AM25">AB25+AC21+AC19+AC16+AC13</f>
        <v>3455843</v>
      </c>
      <c r="AD25" s="121">
        <f t="shared" si="18"/>
        <v>3508037.15</v>
      </c>
      <c r="AE25" s="121">
        <f t="shared" si="18"/>
        <v>3554755</v>
      </c>
      <c r="AF25" s="121">
        <f>AE25+AF21+AF19+AF16+AF13</f>
        <v>3595953.7</v>
      </c>
      <c r="AG25" s="121">
        <f t="shared" si="18"/>
        <v>3631623.6</v>
      </c>
      <c r="AH25" s="121">
        <f t="shared" si="18"/>
        <v>3661672.95</v>
      </c>
      <c r="AI25" s="121">
        <f t="shared" si="18"/>
        <v>3686041.9000000004</v>
      </c>
      <c r="AJ25" s="121">
        <f t="shared" si="18"/>
        <v>3704675.8000000003</v>
      </c>
      <c r="AK25" s="121">
        <f t="shared" si="18"/>
        <v>3717488.8000000003</v>
      </c>
      <c r="AL25" s="121">
        <f t="shared" si="18"/>
        <v>3724394.2</v>
      </c>
      <c r="AM25" s="121">
        <f t="shared" si="18"/>
        <v>3725292.6500000004</v>
      </c>
      <c r="AN25" s="121">
        <f>AA25+AN13+AN16+AN19+AN21</f>
        <v>3725292.65</v>
      </c>
    </row>
    <row r="26" spans="1:40" ht="13.5" thickBot="1">
      <c r="A26" s="116" t="s">
        <v>100</v>
      </c>
      <c r="B26" s="135">
        <f>B24+B25</f>
        <v>221405.9</v>
      </c>
      <c r="C26" s="135">
        <f aca="true" t="shared" si="19" ref="C26:AM26">C24+C25</f>
        <v>438401.85</v>
      </c>
      <c r="D26" s="135">
        <f t="shared" si="19"/>
        <v>649270.6499999999</v>
      </c>
      <c r="E26" s="135">
        <f t="shared" si="19"/>
        <v>852438.3999999999</v>
      </c>
      <c r="F26" s="135">
        <f t="shared" si="19"/>
        <v>1046071.2999999999</v>
      </c>
      <c r="G26" s="135">
        <f t="shared" si="19"/>
        <v>1231317.5499999998</v>
      </c>
      <c r="H26" s="135">
        <f t="shared" si="19"/>
        <v>1407947.2999999998</v>
      </c>
      <c r="I26" s="135">
        <f t="shared" si="19"/>
        <v>1575082.6999999997</v>
      </c>
      <c r="J26" s="135">
        <f t="shared" si="19"/>
        <v>1733587.8999999997</v>
      </c>
      <c r="K26" s="135">
        <f t="shared" si="19"/>
        <v>1883696.0499999996</v>
      </c>
      <c r="L26" s="135">
        <f t="shared" si="19"/>
        <v>2026429.3999999997</v>
      </c>
      <c r="M26" s="135">
        <f t="shared" si="19"/>
        <v>2162074.1499999994</v>
      </c>
      <c r="N26" s="135">
        <f t="shared" si="19"/>
        <v>2162074.15</v>
      </c>
      <c r="O26" s="135">
        <f t="shared" si="19"/>
        <v>2291219.4499999993</v>
      </c>
      <c r="P26" s="135">
        <f t="shared" si="19"/>
        <v>2414508.4499999993</v>
      </c>
      <c r="Q26" s="135">
        <f t="shared" si="19"/>
        <v>2531556.3999999994</v>
      </c>
      <c r="R26" s="135">
        <f t="shared" si="19"/>
        <v>2642716.4999999995</v>
      </c>
      <c r="S26" s="135">
        <f t="shared" si="19"/>
        <v>2748232.8999999994</v>
      </c>
      <c r="T26" s="135">
        <f t="shared" si="19"/>
        <v>2847973.8499999996</v>
      </c>
      <c r="U26" s="135">
        <f t="shared" si="19"/>
        <v>2942513.55</v>
      </c>
      <c r="V26" s="135">
        <f t="shared" si="19"/>
        <v>3031773.15</v>
      </c>
      <c r="W26" s="135">
        <f t="shared" si="19"/>
        <v>3115585.9</v>
      </c>
      <c r="X26" s="135">
        <f t="shared" si="19"/>
        <v>3194171</v>
      </c>
      <c r="Y26" s="135">
        <f t="shared" si="19"/>
        <v>3267438.6</v>
      </c>
      <c r="Z26" s="135">
        <f t="shared" si="19"/>
        <v>3335511.95</v>
      </c>
      <c r="AA26" s="135">
        <f t="shared" si="19"/>
        <v>3335511.95</v>
      </c>
      <c r="AB26" s="135">
        <f t="shared" si="19"/>
        <v>3398324.35</v>
      </c>
      <c r="AC26" s="135">
        <f t="shared" si="19"/>
        <v>3455843</v>
      </c>
      <c r="AD26" s="135">
        <f t="shared" si="19"/>
        <v>3508037.15</v>
      </c>
      <c r="AE26" s="135">
        <f t="shared" si="19"/>
        <v>3554755</v>
      </c>
      <c r="AF26" s="135">
        <f t="shared" si="19"/>
        <v>3595953.7</v>
      </c>
      <c r="AG26" s="135">
        <f t="shared" si="19"/>
        <v>3631623.6</v>
      </c>
      <c r="AH26" s="135">
        <f t="shared" si="19"/>
        <v>3661672.95</v>
      </c>
      <c r="AI26" s="135">
        <f t="shared" si="19"/>
        <v>3686041.9000000004</v>
      </c>
      <c r="AJ26" s="135">
        <f t="shared" si="19"/>
        <v>3704675.8000000003</v>
      </c>
      <c r="AK26" s="135">
        <f t="shared" si="19"/>
        <v>3717488.8000000003</v>
      </c>
      <c r="AL26" s="135">
        <f t="shared" si="19"/>
        <v>3724394.2</v>
      </c>
      <c r="AM26" s="135">
        <f t="shared" si="19"/>
        <v>3725292.6500000004</v>
      </c>
      <c r="AN26" s="135">
        <f>AN24+AN25</f>
        <v>3725292.65</v>
      </c>
    </row>
    <row r="27" spans="1:40" ht="14.25" thickBot="1" thickTop="1">
      <c r="A27" s="116" t="s">
        <v>101</v>
      </c>
      <c r="N27" s="136">
        <f>ROUND(SUM(B25:M25)/12,0)</f>
        <v>1268977</v>
      </c>
      <c r="AA27" s="136">
        <f>ROUND(SUM(O25:Z25)/12,0)</f>
        <v>2863600</v>
      </c>
      <c r="AK27" s="137"/>
      <c r="AN27" s="136">
        <f>ROUND(SUM(AB25:AM25)/12,0)</f>
        <v>3613675</v>
      </c>
    </row>
    <row r="28" spans="1:40" ht="14.25" thickBot="1" thickTop="1">
      <c r="A28" s="134" t="str">
        <f>"Interest @ "&amp;Assumptions!C28*100&amp;"%-new notes"</f>
        <v>Interest @ 18%-new notes</v>
      </c>
      <c r="N28" s="136">
        <f>N27*0.24</f>
        <v>304554.48</v>
      </c>
      <c r="AA28" s="136">
        <f>AA27*0.24</f>
        <v>687264</v>
      </c>
      <c r="AN28" s="136">
        <f>AN27*0.24</f>
        <v>867282</v>
      </c>
    </row>
    <row r="29" ht="13.5" thickTop="1">
      <c r="A29" s="116" t="s">
        <v>102</v>
      </c>
    </row>
    <row r="30" spans="14:40" ht="12.75">
      <c r="N30" s="138"/>
      <c r="AA30" s="138"/>
      <c r="AN30" s="138"/>
    </row>
    <row r="31" spans="1:40" ht="12.75">
      <c r="A31" s="116" t="s">
        <v>126</v>
      </c>
      <c r="B31" s="132">
        <f>-'P&amp;I Pmts-previous notes'!B11</f>
        <v>0</v>
      </c>
      <c r="C31" s="132">
        <f>-'P&amp;I Pmts-previous notes'!C11</f>
        <v>0</v>
      </c>
      <c r="D31" s="132">
        <f>-'P&amp;I Pmts-previous notes'!D11</f>
        <v>0</v>
      </c>
      <c r="E31" s="132">
        <f>-'P&amp;I Pmts-previous notes'!E11</f>
        <v>0</v>
      </c>
      <c r="F31" s="132">
        <f>-'P&amp;I Pmts-previous notes'!F11</f>
        <v>0</v>
      </c>
      <c r="G31" s="132">
        <f>-'P&amp;I Pmts-previous notes'!G11</f>
        <v>0</v>
      </c>
      <c r="H31" s="132">
        <f>-'P&amp;I Pmts-previous notes'!H11</f>
        <v>0</v>
      </c>
      <c r="I31" s="132">
        <f>-'P&amp;I Pmts-previous notes'!I11</f>
        <v>0</v>
      </c>
      <c r="J31" s="132">
        <f>-'P&amp;I Pmts-previous notes'!J11</f>
        <v>0</v>
      </c>
      <c r="K31" s="132">
        <f>-'P&amp;I Pmts-previous notes'!K11</f>
        <v>0</v>
      </c>
      <c r="L31" s="132">
        <f>-'P&amp;I Pmts-previous notes'!L11</f>
        <v>0</v>
      </c>
      <c r="M31" s="132">
        <f>-'P&amp;I Pmts-previous notes'!M11</f>
        <v>0</v>
      </c>
      <c r="N31" s="132">
        <f>SUM(B31:M31)</f>
        <v>0</v>
      </c>
      <c r="O31" s="132">
        <f>-'P&amp;I Pmts-previous notes'!N11</f>
        <v>0</v>
      </c>
      <c r="P31" s="132">
        <f>-'P&amp;I Pmts-previous notes'!O11</f>
        <v>0</v>
      </c>
      <c r="Q31" s="132">
        <f>-'P&amp;I Pmts-previous notes'!P11</f>
        <v>0</v>
      </c>
      <c r="R31" s="132">
        <f>-'P&amp;I Pmts-previous notes'!Q11</f>
        <v>0</v>
      </c>
      <c r="S31" s="132">
        <f>-'P&amp;I Pmts-previous notes'!R11</f>
        <v>0</v>
      </c>
      <c r="T31" s="132">
        <f>-'P&amp;I Pmts-previous notes'!S11</f>
        <v>0</v>
      </c>
      <c r="U31" s="132">
        <f>-'P&amp;I Pmts-previous notes'!T11</f>
        <v>0</v>
      </c>
      <c r="V31" s="132">
        <f>-'P&amp;I Pmts-previous notes'!U11</f>
        <v>0</v>
      </c>
      <c r="W31" s="132">
        <f>-'P&amp;I Pmts-previous notes'!V11</f>
        <v>0</v>
      </c>
      <c r="X31" s="132">
        <f>-'P&amp;I Pmts-previous notes'!W11</f>
        <v>0</v>
      </c>
      <c r="Y31" s="132">
        <f>-'P&amp;I Pmts-previous notes'!X11</f>
        <v>0</v>
      </c>
      <c r="Z31" s="132">
        <f>-'P&amp;I Pmts-previous notes'!Y11</f>
        <v>0</v>
      </c>
      <c r="AA31" s="132">
        <f>SUM(O31:Z31)</f>
        <v>0</v>
      </c>
      <c r="AB31" s="132">
        <f>-'P&amp;I Pmts-previous notes'!Z11</f>
        <v>0</v>
      </c>
      <c r="AC31" s="132">
        <f>-'P&amp;I Pmts-previous notes'!AA11</f>
        <v>0</v>
      </c>
      <c r="AD31" s="132">
        <f>-'P&amp;I Pmts-previous notes'!AB11</f>
        <v>0</v>
      </c>
      <c r="AE31" s="132">
        <f>-'P&amp;I Pmts-previous notes'!AC11</f>
        <v>0</v>
      </c>
      <c r="AF31" s="132">
        <f>-'P&amp;I Pmts-previous notes'!AD11</f>
        <v>0</v>
      </c>
      <c r="AG31" s="132">
        <f>-'P&amp;I Pmts-previous notes'!AE11</f>
        <v>0</v>
      </c>
      <c r="AH31" s="132">
        <f>-'P&amp;I Pmts-previous notes'!AF11</f>
        <v>0</v>
      </c>
      <c r="AI31" s="132">
        <f>-'P&amp;I Pmts-previous notes'!AG11</f>
        <v>0</v>
      </c>
      <c r="AJ31" s="132">
        <f>-'P&amp;I Pmts-previous notes'!AH11</f>
        <v>0</v>
      </c>
      <c r="AK31" s="132">
        <f>-'P&amp;I Pmts-previous notes'!AI11</f>
        <v>0</v>
      </c>
      <c r="AL31" s="132">
        <f>-'P&amp;I Pmts-previous notes'!AJ11</f>
        <v>0</v>
      </c>
      <c r="AM31" s="132">
        <f>-'P&amp;I Pmts-previous notes'!AK11</f>
        <v>0</v>
      </c>
      <c r="AN31" s="132">
        <f>SUM(AB31:AM31)</f>
        <v>0</v>
      </c>
    </row>
    <row r="32" spans="1:40" ht="12.75">
      <c r="A32" s="116" t="s">
        <v>103</v>
      </c>
      <c r="B32" s="132">
        <f>-'P&amp;I Pmts-new notes'!B17</f>
        <v>-3037.5</v>
      </c>
      <c r="C32" s="132">
        <f>-'P&amp;I Pmts-new notes'!C17</f>
        <v>-6179.85</v>
      </c>
      <c r="D32" s="132">
        <f>-'P&amp;I Pmts-new notes'!D17</f>
        <v>-9421.7</v>
      </c>
      <c r="E32" s="132">
        <f>-'P&amp;I Pmts-new notes'!E17</f>
        <v>-12590.650000000001</v>
      </c>
      <c r="F32" s="132">
        <f>-'P&amp;I Pmts-new notes'!F17</f>
        <v>-15684.800000000003</v>
      </c>
      <c r="G32" s="132">
        <f>-'P&amp;I Pmts-new notes'!G17</f>
        <v>-18703.15</v>
      </c>
      <c r="H32" s="132">
        <f>-'P&amp;I Pmts-new notes'!H17</f>
        <v>-21644.65</v>
      </c>
      <c r="I32" s="132">
        <f>-'P&amp;I Pmts-new notes'!I17</f>
        <v>-24508.300000000003</v>
      </c>
      <c r="J32" s="132">
        <f>-'P&amp;I Pmts-new notes'!J17</f>
        <v>-27293.100000000002</v>
      </c>
      <c r="K32" s="132">
        <f>-'P&amp;I Pmts-new notes'!K17</f>
        <v>-29998.050000000003</v>
      </c>
      <c r="L32" s="132">
        <f>-'P&amp;I Pmts-new notes'!L17</f>
        <v>-32621.250000000004</v>
      </c>
      <c r="M32" s="132">
        <f>-'P&amp;I Pmts-new notes'!M17</f>
        <v>-35161.65</v>
      </c>
      <c r="N32" s="132">
        <f>SUM(B32:M32)</f>
        <v>-236844.65</v>
      </c>
      <c r="O32" s="130">
        <f>-'P&amp;I Pmts-new notes'!N17</f>
        <v>-37618.200000000004</v>
      </c>
      <c r="P32" s="130">
        <f>-'P&amp;I Pmts-new notes'!O17</f>
        <v>-39989.9</v>
      </c>
      <c r="Q32" s="130">
        <f>-'P&amp;I Pmts-new notes'!P17</f>
        <v>-42274.85</v>
      </c>
      <c r="R32" s="130">
        <f>-'P&amp;I Pmts-new notes'!Q17</f>
        <v>-44472</v>
      </c>
      <c r="S32" s="130">
        <f>-'P&amp;I Pmts-new notes'!R17</f>
        <v>-46580.3</v>
      </c>
      <c r="T32" s="130">
        <f>-'P&amp;I Pmts-new notes'!S17</f>
        <v>-48597.850000000006</v>
      </c>
      <c r="U32" s="130">
        <f>-'P&amp;I Pmts-new notes'!T17</f>
        <v>-50523.600000000006</v>
      </c>
      <c r="V32" s="130">
        <f>-'P&amp;I Pmts-new notes'!U17</f>
        <v>-52356.50000000001</v>
      </c>
      <c r="W32" s="130">
        <f>-'P&amp;I Pmts-new notes'!V17</f>
        <v>-54094.65000000001</v>
      </c>
      <c r="X32" s="130">
        <f>-'P&amp;I Pmts-new notes'!W17</f>
        <v>-55737.00000000001</v>
      </c>
      <c r="Y32" s="130">
        <f>-'P&amp;I Pmts-new notes'!X17</f>
        <v>-57282.50000000001</v>
      </c>
      <c r="Z32" s="130">
        <f>-'P&amp;I Pmts-new notes'!Y17</f>
        <v>-58729.25000000001</v>
      </c>
      <c r="AA32" s="132">
        <f>SUM(O32:Z32)</f>
        <v>-588256.6000000001</v>
      </c>
      <c r="AB32" s="130">
        <f>-'P&amp;I Pmts-new notes'!Z17</f>
        <v>-60075.30000000001</v>
      </c>
      <c r="AC32" s="130">
        <f>-'P&amp;I Pmts-new notes'!AA17</f>
        <v>-61319.55000000001</v>
      </c>
      <c r="AD32" s="130">
        <f>-'P&amp;I Pmts-new notes'!AB17</f>
        <v>-62460.05000000001</v>
      </c>
      <c r="AE32" s="130">
        <f>-'P&amp;I Pmts-new notes'!AC17</f>
        <v>-63495.75000000001</v>
      </c>
      <c r="AF32" s="130">
        <f>-'P&amp;I Pmts-new notes'!AD17</f>
        <v>-64425.600000000006</v>
      </c>
      <c r="AG32" s="130">
        <f>-'P&amp;I Pmts-new notes'!AE17</f>
        <v>-65246.8</v>
      </c>
      <c r="AH32" s="130">
        <f>-'P&amp;I Pmts-new notes'!AF17</f>
        <v>-65958.25</v>
      </c>
      <c r="AI32" s="130">
        <f>-'P&amp;I Pmts-new notes'!AG17</f>
        <v>-66558.85</v>
      </c>
      <c r="AJ32" s="130">
        <f>-'P&amp;I Pmts-new notes'!AH17</f>
        <v>-67045.8</v>
      </c>
      <c r="AK32" s="130">
        <f>-'P&amp;I Pmts-new notes'!AI17</f>
        <v>-67418.90000000001</v>
      </c>
      <c r="AL32" s="130">
        <f>-'P&amp;I Pmts-new notes'!AJ17</f>
        <v>-67675.3</v>
      </c>
      <c r="AM32" s="130">
        <f>-'P&amp;I Pmts-new notes'!AK17</f>
        <v>-67813.05</v>
      </c>
      <c r="AN32" s="132">
        <f>SUM(AB32:AM32)</f>
        <v>-779493.2000000002</v>
      </c>
    </row>
    <row r="33" spans="1:40" ht="12.75">
      <c r="A33" s="116" t="s">
        <v>141</v>
      </c>
      <c r="B33" s="139">
        <f>IF(B15&lt;&gt;0,ROUND(-B31*Assumptions!$C$30,0),0)</f>
        <v>0</v>
      </c>
      <c r="C33" s="139">
        <f>IF(C15&lt;&gt;0,ROUND(-C31*Assumptions!$C$30,0),0)</f>
        <v>0</v>
      </c>
      <c r="D33" s="139">
        <f>IF(D15&lt;&gt;0,ROUND(-D31*Assumptions!$C$30,0),0)</f>
        <v>0</v>
      </c>
      <c r="E33" s="139">
        <f>IF(E15&lt;&gt;0,ROUND(-E31*Assumptions!$C$30,0),0)</f>
        <v>0</v>
      </c>
      <c r="F33" s="139">
        <f>IF(F15&lt;&gt;0,ROUND(-F31*Assumptions!$C$30,0),0)</f>
        <v>0</v>
      </c>
      <c r="G33" s="139">
        <f>IF(G15&lt;&gt;0,ROUND(-G31*Assumptions!$C$30,0),0)</f>
        <v>0</v>
      </c>
      <c r="H33" s="139">
        <f>IF(H15&lt;&gt;0,ROUND(-H31*Assumptions!$C$30,0),0)</f>
        <v>0</v>
      </c>
      <c r="I33" s="139">
        <f>IF(I15&lt;&gt;0,ROUND(-I31*Assumptions!$C$30,0),0)</f>
        <v>0</v>
      </c>
      <c r="J33" s="139">
        <f>IF(J15&lt;&gt;0,ROUND(-J31*Assumptions!$C$30,0),0)</f>
        <v>0</v>
      </c>
      <c r="K33" s="139">
        <f>IF(K15&lt;&gt;0,ROUND(-K31*Assumptions!$C$30,0),0)</f>
        <v>0</v>
      </c>
      <c r="L33" s="139">
        <f>IF(L15&lt;&gt;0,ROUND(-L31*Assumptions!$C$30,0),0)</f>
        <v>0</v>
      </c>
      <c r="M33" s="139">
        <f>IF(M15&lt;&gt;0,ROUND(-M31*Assumptions!$C$30,0),0)</f>
        <v>0</v>
      </c>
      <c r="N33" s="132">
        <f>SUM(B33:M33)</f>
        <v>0</v>
      </c>
      <c r="O33" s="139">
        <f>IF(O15&lt;&gt;0,ROUND(-O31*Assumptions!$C$30,0),0)</f>
        <v>0</v>
      </c>
      <c r="P33" s="139">
        <f>IF(P15&lt;&gt;0,ROUND(-P31*Assumptions!$C$30,0),0)</f>
        <v>0</v>
      </c>
      <c r="Q33" s="139">
        <f>IF(Q15&lt;&gt;0,ROUND(-Q31*Assumptions!$C$30,0),0)</f>
        <v>0</v>
      </c>
      <c r="R33" s="139">
        <f>IF(R15&lt;&gt;0,ROUND(-R31*Assumptions!$C$30,0),0)</f>
        <v>0</v>
      </c>
      <c r="S33" s="139">
        <f>IF(S15&lt;&gt;0,ROUND(-S31*Assumptions!$C$30,0),0)</f>
        <v>0</v>
      </c>
      <c r="T33" s="139">
        <f>IF(T15&lt;&gt;0,ROUND(-T31*Assumptions!$C$30,0),0)</f>
        <v>0</v>
      </c>
      <c r="U33" s="139">
        <f>IF(U15&lt;&gt;0,ROUND(-U31*Assumptions!$C$30,0),0)</f>
        <v>0</v>
      </c>
      <c r="V33" s="139">
        <f>IF(V15&lt;&gt;0,ROUND(-V31*Assumptions!$C$30,0),0)</f>
        <v>0</v>
      </c>
      <c r="W33" s="139">
        <f>IF(W15&lt;&gt;0,ROUND(-W31*Assumptions!$C$30,0),0)</f>
        <v>0</v>
      </c>
      <c r="X33" s="139">
        <f>IF(X15&lt;&gt;0,ROUND(-X31*Assumptions!$C$30,0),0)</f>
        <v>0</v>
      </c>
      <c r="Y33" s="139">
        <f>IF(Y15&lt;&gt;0,ROUND(-Y31*Assumptions!$C$30,0),0)</f>
        <v>0</v>
      </c>
      <c r="Z33" s="139">
        <f>IF(Z15&lt;&gt;0,ROUND(-Z31*Assumptions!$C$30,0),0)</f>
        <v>0</v>
      </c>
      <c r="AA33" s="139">
        <f>ROUND(-AA31*Assumptions!$C$30,0)</f>
        <v>0</v>
      </c>
      <c r="AB33" s="139">
        <f>IF(AB15&lt;&gt;0,ROUND(-AB31*Assumptions!$C$30,0),0)</f>
        <v>0</v>
      </c>
      <c r="AC33" s="139">
        <f>IF(AC15&lt;&gt;0,ROUND(-AC31*Assumptions!$C$30,0),0)</f>
        <v>0</v>
      </c>
      <c r="AD33" s="139">
        <f>IF(AD15&lt;&gt;0,ROUND(-AD31*Assumptions!$C$30,0),0)</f>
        <v>0</v>
      </c>
      <c r="AE33" s="139">
        <f>IF(AE15&lt;&gt;0,ROUND(-AE31*Assumptions!$C$30,0),0)</f>
        <v>0</v>
      </c>
      <c r="AF33" s="139">
        <f>IF(AF15&lt;&gt;0,ROUND(-AF31*Assumptions!$C$30,0),0)</f>
        <v>0</v>
      </c>
      <c r="AG33" s="139">
        <f>IF(AG15&lt;&gt;0,ROUND(-AG31*Assumptions!$C$30,0),0)</f>
        <v>0</v>
      </c>
      <c r="AH33" s="139">
        <f>IF(AH15&lt;&gt;0,ROUND(-AH31*Assumptions!$C$30,0),0)</f>
        <v>0</v>
      </c>
      <c r="AI33" s="139">
        <f>IF(AI15&lt;&gt;0,ROUND(-AI31*Assumptions!$C$30,0),0)</f>
        <v>0</v>
      </c>
      <c r="AJ33" s="139">
        <f>IF(AJ15&lt;&gt;0,ROUND(-AJ31*Assumptions!$C$30,0),0)</f>
        <v>0</v>
      </c>
      <c r="AK33" s="139">
        <f>IF(AK15&lt;&gt;0,ROUND(-AK31*Assumptions!$C$30,0),0)</f>
        <v>0</v>
      </c>
      <c r="AL33" s="139">
        <f>IF(AL15&lt;&gt;0,ROUND(-AL31*Assumptions!$C$30,0),0)</f>
        <v>0</v>
      </c>
      <c r="AM33" s="139">
        <f>IF(AM15&lt;&gt;0,ROUND(-AM31*Assumptions!$C$30,0),0)</f>
        <v>0</v>
      </c>
      <c r="AN33" s="132">
        <f>SUM(AB33:AM33)</f>
        <v>0</v>
      </c>
    </row>
    <row r="34" spans="1:40" ht="13.5" thickBot="1">
      <c r="A34" s="122" t="s">
        <v>104</v>
      </c>
      <c r="B34" s="139">
        <f>IF(B16&lt;&gt;0,ROUND(-B32*Assumptions!$C$29,0),0)</f>
        <v>759</v>
      </c>
      <c r="C34" s="139">
        <f>IF(C16&lt;&gt;0,ROUND(-C32*Assumptions!$C$29,0),0)</f>
        <v>1545</v>
      </c>
      <c r="D34" s="139">
        <f>IF(D16&lt;&gt;0,ROUND(-D32*Assumptions!$C$29,0),0)</f>
        <v>2355</v>
      </c>
      <c r="E34" s="139">
        <f>IF(E16&lt;&gt;0,ROUND(-E32*Assumptions!$C$29,0),0)</f>
        <v>3148</v>
      </c>
      <c r="F34" s="139">
        <f>IF(F16&lt;&gt;0,ROUND(-F32*Assumptions!$C$29,0),0)</f>
        <v>3921</v>
      </c>
      <c r="G34" s="139">
        <f>IF(G16&lt;&gt;0,ROUND(-G32*Assumptions!$C$29,0),0)</f>
        <v>4676</v>
      </c>
      <c r="H34" s="139">
        <f>IF(H16&lt;&gt;0,ROUND(-H32*Assumptions!$C$29,0),0)</f>
        <v>5411</v>
      </c>
      <c r="I34" s="139">
        <f>IF(I16&lt;&gt;0,ROUND(-I32*Assumptions!$C$29,0),0)</f>
        <v>6127</v>
      </c>
      <c r="J34" s="139">
        <f>IF(J16&lt;&gt;0,ROUND(-J32*Assumptions!$C$29,0),0)</f>
        <v>6823</v>
      </c>
      <c r="K34" s="139">
        <f>IF(K16&lt;&gt;0,ROUND(-K32*Assumptions!$C$29,0),0)</f>
        <v>7500</v>
      </c>
      <c r="L34" s="139">
        <f>IF(L16&lt;&gt;0,ROUND(-L32*Assumptions!$C$29,0),0)</f>
        <v>8155</v>
      </c>
      <c r="M34" s="139">
        <f>IF(M16&lt;&gt;0,ROUND(-M32*Assumptions!$C$29,0),0)</f>
        <v>8790</v>
      </c>
      <c r="N34" s="132">
        <f>SUM(B34:M34)</f>
        <v>59210</v>
      </c>
      <c r="O34" s="139">
        <f>IF(O16&lt;&gt;0,ROUND(-O32*Assumptions!$C$29,0),0)</f>
        <v>9405</v>
      </c>
      <c r="P34" s="139">
        <f>IF(P16&lt;&gt;0,ROUND(-P32*Assumptions!$C$29,0),0)</f>
        <v>9997</v>
      </c>
      <c r="Q34" s="139">
        <f>IF(Q16&lt;&gt;0,ROUND(-Q32*Assumptions!$C$29,0),0)</f>
        <v>10569</v>
      </c>
      <c r="R34" s="139">
        <f>IF(R16&lt;&gt;0,ROUND(-R32*Assumptions!$C$29,0),0)</f>
        <v>11118</v>
      </c>
      <c r="S34" s="139">
        <f>IF(S16&lt;&gt;0,ROUND(-S32*Assumptions!$C$29,0),0)</f>
        <v>11645</v>
      </c>
      <c r="T34" s="139">
        <f>IF(T16&lt;&gt;0,ROUND(-T32*Assumptions!$C$29,0),0)</f>
        <v>12149</v>
      </c>
      <c r="U34" s="139">
        <f>IF(U16&lt;&gt;0,ROUND(-U32*Assumptions!$C$29,0),0)</f>
        <v>12631</v>
      </c>
      <c r="V34" s="139">
        <f>IF(V16&lt;&gt;0,ROUND(-V32*Assumptions!$C$29,0),0)</f>
        <v>13089</v>
      </c>
      <c r="W34" s="139">
        <f>IF(W16&lt;&gt;0,ROUND(-W32*Assumptions!$C$29,0),0)</f>
        <v>13524</v>
      </c>
      <c r="X34" s="139">
        <f>IF(X16&lt;&gt;0,ROUND(-X32*Assumptions!$C$29,0),0)</f>
        <v>13934</v>
      </c>
      <c r="Y34" s="139">
        <f>IF(Y16&lt;&gt;0,ROUND(-Y32*Assumptions!$C$29,0),0)</f>
        <v>14321</v>
      </c>
      <c r="Z34" s="139">
        <f>IF(Z16&lt;&gt;0,ROUND(-Z32*Assumptions!$C$29,0),0)</f>
        <v>14682</v>
      </c>
      <c r="AA34" s="132">
        <f>SUM(O34:Z34)</f>
        <v>147064</v>
      </c>
      <c r="AB34" s="139">
        <f>IF(AB16&lt;&gt;0,ROUND(-AB32*Assumptions!$C$29,0),0)</f>
        <v>15019</v>
      </c>
      <c r="AC34" s="139">
        <f>IF(AC16&lt;&gt;0,ROUND(-AC32*Assumptions!$C$29,0),0)</f>
        <v>15330</v>
      </c>
      <c r="AD34" s="139">
        <f>IF(AD16&lt;&gt;0,ROUND(-AD32*Assumptions!$C$29,0),0)</f>
        <v>15615</v>
      </c>
      <c r="AE34" s="139">
        <f>IF(AE16&lt;&gt;0,ROUND(-AE32*Assumptions!$C$29,0),0)</f>
        <v>15874</v>
      </c>
      <c r="AF34" s="139">
        <f>IF(AF16&lt;&gt;0,ROUND(-AF32*Assumptions!$C$29,0),0)</f>
        <v>16106</v>
      </c>
      <c r="AG34" s="139">
        <f>IF(AG16&lt;&gt;0,ROUND(-AG32*Assumptions!$C$29,0),0)</f>
        <v>16312</v>
      </c>
      <c r="AH34" s="139">
        <f>IF(AH16&lt;&gt;0,ROUND(-AH32*Assumptions!$C$29,0),0)</f>
        <v>16490</v>
      </c>
      <c r="AI34" s="139">
        <f>IF(AI16&lt;&gt;0,ROUND(-AI32*Assumptions!$C$29,0),0)</f>
        <v>16640</v>
      </c>
      <c r="AJ34" s="139">
        <f>IF(AJ16&lt;&gt;0,ROUND(-AJ32*Assumptions!$C$29,0),0)</f>
        <v>16761</v>
      </c>
      <c r="AK34" s="139">
        <f>IF(AK16&lt;&gt;0,ROUND(-AK32*Assumptions!$C$29,0),0)</f>
        <v>16855</v>
      </c>
      <c r="AL34" s="139">
        <f>IF(AL16&lt;&gt;0,ROUND(-AL32*Assumptions!$C$29,0),0)</f>
        <v>16919</v>
      </c>
      <c r="AM34" s="139">
        <f>IF(AM16&lt;&gt;0,ROUND(-AM32*Assumptions!$C$29,0),0)</f>
        <v>16953</v>
      </c>
      <c r="AN34" s="132">
        <f>SUM(AB34:AM34)</f>
        <v>194874</v>
      </c>
    </row>
    <row r="35" spans="1:40" ht="14.25" thickBot="1" thickTop="1">
      <c r="A35" s="116" t="s">
        <v>105</v>
      </c>
      <c r="B35" s="140">
        <f aca="true" t="shared" si="20" ref="B35:AM35">SUM(B31:B34)</f>
        <v>-2278.5</v>
      </c>
      <c r="C35" s="140">
        <f t="shared" si="20"/>
        <v>-4634.85</v>
      </c>
      <c r="D35" s="140">
        <f t="shared" si="20"/>
        <v>-7066.700000000001</v>
      </c>
      <c r="E35" s="140">
        <f t="shared" si="20"/>
        <v>-9442.650000000001</v>
      </c>
      <c r="F35" s="140">
        <f t="shared" si="20"/>
        <v>-11763.800000000003</v>
      </c>
      <c r="G35" s="140">
        <f t="shared" si="20"/>
        <v>-14027.150000000001</v>
      </c>
      <c r="H35" s="140">
        <f t="shared" si="20"/>
        <v>-16233.650000000001</v>
      </c>
      <c r="I35" s="140">
        <f t="shared" si="20"/>
        <v>-18381.300000000003</v>
      </c>
      <c r="J35" s="140">
        <f t="shared" si="20"/>
        <v>-20470.100000000002</v>
      </c>
      <c r="K35" s="140">
        <f t="shared" si="20"/>
        <v>-22498.050000000003</v>
      </c>
      <c r="L35" s="140">
        <f t="shared" si="20"/>
        <v>-24466.250000000004</v>
      </c>
      <c r="M35" s="140">
        <f t="shared" si="20"/>
        <v>-26371.65</v>
      </c>
      <c r="N35" s="140">
        <f t="shared" si="20"/>
        <v>-177634.65</v>
      </c>
      <c r="O35" s="140">
        <f t="shared" si="20"/>
        <v>-28213.200000000004</v>
      </c>
      <c r="P35" s="140">
        <f t="shared" si="20"/>
        <v>-29992.9</v>
      </c>
      <c r="Q35" s="140">
        <f t="shared" si="20"/>
        <v>-31705.85</v>
      </c>
      <c r="R35" s="140">
        <f t="shared" si="20"/>
        <v>-33354</v>
      </c>
      <c r="S35" s="140">
        <f t="shared" si="20"/>
        <v>-34935.3</v>
      </c>
      <c r="T35" s="140">
        <f t="shared" si="20"/>
        <v>-36448.850000000006</v>
      </c>
      <c r="U35" s="140">
        <f t="shared" si="20"/>
        <v>-37892.600000000006</v>
      </c>
      <c r="V35" s="140">
        <f t="shared" si="20"/>
        <v>-39267.50000000001</v>
      </c>
      <c r="W35" s="140">
        <f t="shared" si="20"/>
        <v>-40570.65000000001</v>
      </c>
      <c r="X35" s="140">
        <f t="shared" si="20"/>
        <v>-41803.00000000001</v>
      </c>
      <c r="Y35" s="140">
        <f>SUM(Y31:Y34)</f>
        <v>-42961.50000000001</v>
      </c>
      <c r="Z35" s="140">
        <f t="shared" si="20"/>
        <v>-44047.25000000001</v>
      </c>
      <c r="AA35" s="140">
        <f>SUM(AA31:AA34)</f>
        <v>-441192.6000000001</v>
      </c>
      <c r="AB35" s="140">
        <f t="shared" si="20"/>
        <v>-45056.30000000001</v>
      </c>
      <c r="AC35" s="140">
        <f t="shared" si="20"/>
        <v>-45989.55000000001</v>
      </c>
      <c r="AD35" s="140">
        <f>SUM(AD31:AD34)</f>
        <v>-46845.05000000001</v>
      </c>
      <c r="AE35" s="140">
        <f t="shared" si="20"/>
        <v>-47621.75000000001</v>
      </c>
      <c r="AF35" s="140">
        <f t="shared" si="20"/>
        <v>-48319.600000000006</v>
      </c>
      <c r="AG35" s="140">
        <f t="shared" si="20"/>
        <v>-48934.8</v>
      </c>
      <c r="AH35" s="140">
        <f t="shared" si="20"/>
        <v>-49468.25</v>
      </c>
      <c r="AI35" s="140">
        <f t="shared" si="20"/>
        <v>-49918.850000000006</v>
      </c>
      <c r="AJ35" s="140">
        <f t="shared" si="20"/>
        <v>-50284.8</v>
      </c>
      <c r="AK35" s="140">
        <f t="shared" si="20"/>
        <v>-50563.90000000001</v>
      </c>
      <c r="AL35" s="140">
        <f t="shared" si="20"/>
        <v>-50756.3</v>
      </c>
      <c r="AM35" s="140">
        <f t="shared" si="20"/>
        <v>-50860.05</v>
      </c>
      <c r="AN35" s="140">
        <f>SUM(AN31:AN34)</f>
        <v>-584619.2000000002</v>
      </c>
    </row>
    <row r="36" spans="14:40" ht="13.5" thickTop="1">
      <c r="N36" s="141"/>
      <c r="AA36" s="142"/>
      <c r="AN36" s="142"/>
    </row>
    <row r="37" spans="1:40" ht="13.5" thickBot="1">
      <c r="A37" s="116" t="s">
        <v>106</v>
      </c>
      <c r="B37" s="130"/>
      <c r="N37" s="136">
        <f>-N32-N34</f>
        <v>177634.65</v>
      </c>
      <c r="AA37" s="136">
        <f>-AA32-AA34</f>
        <v>441192.6000000001</v>
      </c>
      <c r="AN37" s="136">
        <f>-AN32-AN34</f>
        <v>584619.2000000002</v>
      </c>
    </row>
    <row r="38" spans="1:40" ht="14.25" thickBot="1" thickTop="1">
      <c r="A38" s="116" t="s">
        <v>107</v>
      </c>
      <c r="B38" s="130"/>
      <c r="C38" s="130"/>
      <c r="D38" s="130"/>
      <c r="E38" s="130"/>
      <c r="F38" s="130"/>
      <c r="N38" s="143">
        <f>N37/N27</f>
        <v>0.13998256075563228</v>
      </c>
      <c r="AA38" s="143">
        <f>AA37/AA27</f>
        <v>0.1540692135773153</v>
      </c>
      <c r="AN38" s="143">
        <f>AN37/AN27</f>
        <v>0.16177968411658497</v>
      </c>
    </row>
    <row r="39" ht="13.5" thickTop="1"/>
  </sheetData>
  <sheetProtection password="C7CE" sheet="1" objects="1" scenarios="1" selectLockedCells="1" selectUnlockedCells="1"/>
  <printOptions/>
  <pageMargins left="0.25" right="0.25" top="1.25" bottom="0.25" header="0.5" footer="0.5"/>
  <pageSetup fitToWidth="0" fitToHeight="1" horizontalDpi="300" verticalDpi="300" orientation="landscape" r:id="rId3"/>
  <colBreaks count="1" manualBreakCount="1">
    <brk id="8" min="5" max="37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8515625" style="116" customWidth="1"/>
    <col min="2" max="6" width="10.00390625" style="116" bestFit="1" customWidth="1"/>
    <col min="7" max="7" width="11.140625" style="116" customWidth="1"/>
    <col min="8" max="8" width="10.7109375" style="116" customWidth="1"/>
    <col min="9" max="10" width="11.00390625" style="116" customWidth="1"/>
    <col min="11" max="11" width="11.140625" style="116" customWidth="1"/>
    <col min="12" max="12" width="10.140625" style="116" customWidth="1"/>
    <col min="13" max="13" width="11.57421875" style="116" customWidth="1"/>
    <col min="14" max="14" width="11.7109375" style="116" customWidth="1"/>
    <col min="15" max="15" width="11.28125" style="116" customWidth="1"/>
    <col min="16" max="16" width="11.7109375" style="116" customWidth="1"/>
    <col min="17" max="17" width="11.140625" style="116" customWidth="1"/>
    <col min="18" max="18" width="11.28125" style="116" customWidth="1"/>
    <col min="19" max="19" width="11.140625" style="116" customWidth="1"/>
    <col min="20" max="21" width="10.8515625" style="116" customWidth="1"/>
    <col min="22" max="22" width="10.421875" style="116" customWidth="1"/>
    <col min="23" max="23" width="11.421875" style="116" customWidth="1"/>
    <col min="24" max="24" width="11.7109375" style="116" customWidth="1"/>
    <col min="25" max="37" width="10.7109375" style="116" customWidth="1"/>
    <col min="38" max="38" width="12.421875" style="116" bestFit="1" customWidth="1"/>
    <col min="39" max="39" width="10.140625" style="116" customWidth="1"/>
    <col min="40" max="40" width="9.28125" style="116" bestFit="1" customWidth="1"/>
    <col min="41" max="16384" width="9.140625" style="116" customWidth="1"/>
  </cols>
  <sheetData>
    <row r="1" ht="12.75">
      <c r="A1" s="116" t="e">
        <f>'AR Portfolio Growth'!A1</f>
        <v>#REF!</v>
      </c>
    </row>
    <row r="2" ht="12.75">
      <c r="A2" s="116" t="s">
        <v>108</v>
      </c>
    </row>
    <row r="7" spans="1:40" ht="12.75">
      <c r="A7" s="116" t="s">
        <v>20</v>
      </c>
      <c r="B7" s="119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9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19">
        <v>24</v>
      </c>
      <c r="Z7" s="119">
        <f aca="true" t="shared" si="0" ref="Z7:AK7">Y7+1</f>
        <v>25</v>
      </c>
      <c r="AA7" s="119">
        <f t="shared" si="0"/>
        <v>26</v>
      </c>
      <c r="AB7" s="119">
        <f t="shared" si="0"/>
        <v>27</v>
      </c>
      <c r="AC7" s="119">
        <f t="shared" si="0"/>
        <v>28</v>
      </c>
      <c r="AD7" s="119">
        <f t="shared" si="0"/>
        <v>29</v>
      </c>
      <c r="AE7" s="119">
        <f t="shared" si="0"/>
        <v>30</v>
      </c>
      <c r="AF7" s="119">
        <f t="shared" si="0"/>
        <v>31</v>
      </c>
      <c r="AG7" s="119">
        <f t="shared" si="0"/>
        <v>32</v>
      </c>
      <c r="AH7" s="119">
        <f t="shared" si="0"/>
        <v>33</v>
      </c>
      <c r="AI7" s="119">
        <f t="shared" si="0"/>
        <v>34</v>
      </c>
      <c r="AJ7" s="119">
        <f t="shared" si="0"/>
        <v>35</v>
      </c>
      <c r="AK7" s="119">
        <f t="shared" si="0"/>
        <v>36</v>
      </c>
      <c r="AL7" s="116" t="s">
        <v>7</v>
      </c>
      <c r="AM7" s="116" t="s">
        <v>109</v>
      </c>
      <c r="AN7" s="116" t="s">
        <v>110</v>
      </c>
    </row>
    <row r="9" spans="1:40" ht="12.75">
      <c r="A9" s="116" t="s">
        <v>111</v>
      </c>
      <c r="B9" s="132">
        <f aca="true" t="shared" si="1" ref="B9:AK9">H65</f>
        <v>4283.1</v>
      </c>
      <c r="C9" s="132">
        <f t="shared" si="1"/>
        <v>4584.95</v>
      </c>
      <c r="D9" s="132">
        <f t="shared" si="1"/>
        <v>4892.15</v>
      </c>
      <c r="E9" s="132">
        <f t="shared" si="1"/>
        <v>4965.05</v>
      </c>
      <c r="F9" s="132">
        <f t="shared" si="1"/>
        <v>5039.85</v>
      </c>
      <c r="G9" s="132">
        <f t="shared" si="1"/>
        <v>5115.650000000001</v>
      </c>
      <c r="H9" s="132">
        <f t="shared" si="1"/>
        <v>5192.5</v>
      </c>
      <c r="I9" s="132">
        <f t="shared" si="1"/>
        <v>5270.35</v>
      </c>
      <c r="J9" s="132">
        <f t="shared" si="1"/>
        <v>5349.200000000001</v>
      </c>
      <c r="K9" s="132">
        <f t="shared" si="1"/>
        <v>5429.050000000001</v>
      </c>
      <c r="L9" s="132">
        <f t="shared" si="1"/>
        <v>5510.8</v>
      </c>
      <c r="M9" s="132">
        <f t="shared" si="1"/>
        <v>5593.6</v>
      </c>
      <c r="N9" s="132">
        <f t="shared" si="1"/>
        <v>5677.45</v>
      </c>
      <c r="O9" s="132">
        <f t="shared" si="1"/>
        <v>5762.3</v>
      </c>
      <c r="P9" s="132">
        <f t="shared" si="1"/>
        <v>5849.05</v>
      </c>
      <c r="Q9" s="132">
        <f t="shared" si="1"/>
        <v>5936.85</v>
      </c>
      <c r="R9" s="132">
        <f t="shared" si="1"/>
        <v>6025.700000000001</v>
      </c>
      <c r="S9" s="132">
        <f t="shared" si="1"/>
        <v>6116.45</v>
      </c>
      <c r="T9" s="132">
        <f t="shared" si="1"/>
        <v>6208.25</v>
      </c>
      <c r="U9" s="132">
        <f t="shared" si="1"/>
        <v>6301.1</v>
      </c>
      <c r="V9" s="132">
        <f t="shared" si="1"/>
        <v>6395.85</v>
      </c>
      <c r="W9" s="132">
        <f t="shared" si="1"/>
        <v>6491.650000000001</v>
      </c>
      <c r="X9" s="132">
        <f t="shared" si="1"/>
        <v>6588.5</v>
      </c>
      <c r="Y9" s="132">
        <f t="shared" si="1"/>
        <v>6687.25</v>
      </c>
      <c r="Z9" s="132">
        <f t="shared" si="1"/>
        <v>6787.95</v>
      </c>
      <c r="AA9" s="132">
        <f t="shared" si="1"/>
        <v>6889.75</v>
      </c>
      <c r="AB9" s="132">
        <f t="shared" si="1"/>
        <v>6993.5</v>
      </c>
      <c r="AC9" s="132">
        <f t="shared" si="1"/>
        <v>7098.3</v>
      </c>
      <c r="AD9" s="132">
        <f t="shared" si="1"/>
        <v>7204.15</v>
      </c>
      <c r="AE9" s="132">
        <f t="shared" si="1"/>
        <v>7312.8</v>
      </c>
      <c r="AF9" s="132">
        <f t="shared" si="1"/>
        <v>7422.55</v>
      </c>
      <c r="AG9" s="132">
        <f t="shared" si="1"/>
        <v>7533.4</v>
      </c>
      <c r="AH9" s="132">
        <f t="shared" si="1"/>
        <v>7647.05</v>
      </c>
      <c r="AI9" s="132">
        <f t="shared" si="1"/>
        <v>7760.9</v>
      </c>
      <c r="AJ9" s="132">
        <f t="shared" si="1"/>
        <v>7877.6</v>
      </c>
      <c r="AK9" s="132">
        <f t="shared" si="1"/>
        <v>8007.950000000001</v>
      </c>
      <c r="AL9" s="132">
        <f>SUM(B9:AK9)</f>
        <v>223802.55</v>
      </c>
      <c r="AM9" s="132">
        <f>D69</f>
        <v>225000</v>
      </c>
      <c r="AN9" s="132">
        <f>AL9-AM9</f>
        <v>-1197.4500000000116</v>
      </c>
    </row>
    <row r="10" spans="2:40" ht="12.75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</row>
    <row r="11" spans="1:40" ht="12.75">
      <c r="A11" s="116" t="s">
        <v>112</v>
      </c>
      <c r="B11" s="132">
        <f>B9</f>
        <v>4283.1</v>
      </c>
      <c r="C11" s="132">
        <f>B9+C9</f>
        <v>8868.05</v>
      </c>
      <c r="D11" s="132">
        <f aca="true" t="shared" si="2" ref="D11:I11">C11+D9</f>
        <v>13760.199999999999</v>
      </c>
      <c r="E11" s="132">
        <f t="shared" si="2"/>
        <v>18725.25</v>
      </c>
      <c r="F11" s="132">
        <f t="shared" si="2"/>
        <v>23765.1</v>
      </c>
      <c r="G11" s="132">
        <f t="shared" si="2"/>
        <v>28880.75</v>
      </c>
      <c r="H11" s="132">
        <f t="shared" si="2"/>
        <v>34073.25</v>
      </c>
      <c r="I11" s="132">
        <f t="shared" si="2"/>
        <v>39343.6</v>
      </c>
      <c r="J11" s="132">
        <f aca="true" t="shared" si="3" ref="J11:AK11">I11+J9</f>
        <v>44692.8</v>
      </c>
      <c r="K11" s="132">
        <f t="shared" si="3"/>
        <v>50121.850000000006</v>
      </c>
      <c r="L11" s="132">
        <f t="shared" si="3"/>
        <v>55632.65000000001</v>
      </c>
      <c r="M11" s="132">
        <f t="shared" si="3"/>
        <v>61226.25000000001</v>
      </c>
      <c r="N11" s="132">
        <f t="shared" si="3"/>
        <v>66903.70000000001</v>
      </c>
      <c r="O11" s="132">
        <f t="shared" si="3"/>
        <v>72666.00000000001</v>
      </c>
      <c r="P11" s="132">
        <f t="shared" si="3"/>
        <v>78515.05000000002</v>
      </c>
      <c r="Q11" s="132">
        <f t="shared" si="3"/>
        <v>84451.90000000002</v>
      </c>
      <c r="R11" s="132">
        <f t="shared" si="3"/>
        <v>90477.60000000002</v>
      </c>
      <c r="S11" s="132">
        <f t="shared" si="3"/>
        <v>96594.05000000002</v>
      </c>
      <c r="T11" s="132">
        <f t="shared" si="3"/>
        <v>102802.30000000002</v>
      </c>
      <c r="U11" s="132">
        <f t="shared" si="3"/>
        <v>109103.40000000002</v>
      </c>
      <c r="V11" s="132">
        <f t="shared" si="3"/>
        <v>115499.25000000003</v>
      </c>
      <c r="W11" s="132">
        <f t="shared" si="3"/>
        <v>121990.90000000002</v>
      </c>
      <c r="X11" s="132">
        <f t="shared" si="3"/>
        <v>128579.40000000002</v>
      </c>
      <c r="Y11" s="132">
        <f t="shared" si="3"/>
        <v>135266.65000000002</v>
      </c>
      <c r="Z11" s="132">
        <f t="shared" si="3"/>
        <v>142054.60000000003</v>
      </c>
      <c r="AA11" s="132">
        <f t="shared" si="3"/>
        <v>148944.35000000003</v>
      </c>
      <c r="AB11" s="132">
        <f t="shared" si="3"/>
        <v>155937.85000000003</v>
      </c>
      <c r="AC11" s="132">
        <f t="shared" si="3"/>
        <v>163036.15000000002</v>
      </c>
      <c r="AD11" s="132">
        <f t="shared" si="3"/>
        <v>170240.30000000002</v>
      </c>
      <c r="AE11" s="132">
        <f t="shared" si="3"/>
        <v>177553.1</v>
      </c>
      <c r="AF11" s="132">
        <f t="shared" si="3"/>
        <v>184975.65</v>
      </c>
      <c r="AG11" s="132">
        <f t="shared" si="3"/>
        <v>192509.05</v>
      </c>
      <c r="AH11" s="132">
        <f t="shared" si="3"/>
        <v>200156.09999999998</v>
      </c>
      <c r="AI11" s="132">
        <f t="shared" si="3"/>
        <v>207916.99999999997</v>
      </c>
      <c r="AJ11" s="132">
        <f t="shared" si="3"/>
        <v>215794.59999999998</v>
      </c>
      <c r="AK11" s="132">
        <f t="shared" si="3"/>
        <v>223802.55</v>
      </c>
      <c r="AL11" s="132">
        <f>SUM(D11:Y11)</f>
        <v>1573071.9</v>
      </c>
      <c r="AM11" s="132"/>
      <c r="AN11" s="132"/>
    </row>
    <row r="12" spans="2:40" ht="12.75"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</row>
    <row r="13" spans="2:40" ht="12.75"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</row>
    <row r="14" spans="2:40" ht="12.75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</row>
    <row r="15" spans="1:40" ht="12.75">
      <c r="A15" s="116" t="s">
        <v>113</v>
      </c>
      <c r="B15" s="132">
        <f aca="true" t="shared" si="4" ref="B15:AK15">H109</f>
        <v>3037.5</v>
      </c>
      <c r="C15" s="132">
        <f t="shared" si="4"/>
        <v>3142.35</v>
      </c>
      <c r="D15" s="132">
        <f t="shared" si="4"/>
        <v>3241.8500000000004</v>
      </c>
      <c r="E15" s="132">
        <f t="shared" si="4"/>
        <v>3168.9500000000003</v>
      </c>
      <c r="F15" s="132">
        <f t="shared" si="4"/>
        <v>3094.1500000000005</v>
      </c>
      <c r="G15" s="132">
        <f t="shared" si="4"/>
        <v>3018.3500000000004</v>
      </c>
      <c r="H15" s="132">
        <f t="shared" si="4"/>
        <v>2941.5</v>
      </c>
      <c r="I15" s="132">
        <f t="shared" si="4"/>
        <v>2863.65</v>
      </c>
      <c r="J15" s="132">
        <f t="shared" si="4"/>
        <v>2784.8</v>
      </c>
      <c r="K15" s="132">
        <f t="shared" si="4"/>
        <v>2704.9500000000003</v>
      </c>
      <c r="L15" s="132">
        <f t="shared" si="4"/>
        <v>2623.2000000000003</v>
      </c>
      <c r="M15" s="132">
        <f t="shared" si="4"/>
        <v>2540.4000000000005</v>
      </c>
      <c r="N15" s="132">
        <f t="shared" si="4"/>
        <v>2456.55</v>
      </c>
      <c r="O15" s="132">
        <f t="shared" si="4"/>
        <v>2371.7</v>
      </c>
      <c r="P15" s="132">
        <f t="shared" si="4"/>
        <v>2284.95</v>
      </c>
      <c r="Q15" s="132">
        <f t="shared" si="4"/>
        <v>2197.15</v>
      </c>
      <c r="R15" s="132">
        <f t="shared" si="4"/>
        <v>2108.3</v>
      </c>
      <c r="S15" s="132">
        <f t="shared" si="4"/>
        <v>2017.5500000000002</v>
      </c>
      <c r="T15" s="132">
        <f t="shared" si="4"/>
        <v>1925.75</v>
      </c>
      <c r="U15" s="132">
        <f t="shared" si="4"/>
        <v>1832.9</v>
      </c>
      <c r="V15" s="132">
        <f t="shared" si="4"/>
        <v>1738.15</v>
      </c>
      <c r="W15" s="132">
        <f t="shared" si="4"/>
        <v>1642.3500000000001</v>
      </c>
      <c r="X15" s="132">
        <f t="shared" si="4"/>
        <v>1545.5</v>
      </c>
      <c r="Y15" s="132">
        <f t="shared" si="4"/>
        <v>1446.75</v>
      </c>
      <c r="Z15" s="132">
        <f t="shared" si="4"/>
        <v>1346.0500000000002</v>
      </c>
      <c r="AA15" s="132">
        <f t="shared" si="4"/>
        <v>1244.2500000000002</v>
      </c>
      <c r="AB15" s="132">
        <f t="shared" si="4"/>
        <v>1140.5</v>
      </c>
      <c r="AC15" s="132">
        <f t="shared" si="4"/>
        <v>1035.7</v>
      </c>
      <c r="AD15" s="132">
        <f t="shared" si="4"/>
        <v>929.85</v>
      </c>
      <c r="AE15" s="132">
        <f t="shared" si="4"/>
        <v>821.2</v>
      </c>
      <c r="AF15" s="132">
        <f t="shared" si="4"/>
        <v>711.45</v>
      </c>
      <c r="AG15" s="132">
        <f t="shared" si="4"/>
        <v>600.6</v>
      </c>
      <c r="AH15" s="132">
        <f t="shared" si="4"/>
        <v>486.95</v>
      </c>
      <c r="AI15" s="132">
        <f t="shared" si="4"/>
        <v>373.1</v>
      </c>
      <c r="AJ15" s="132">
        <f t="shared" si="4"/>
        <v>256.4</v>
      </c>
      <c r="AK15" s="132">
        <f t="shared" si="4"/>
        <v>137.75</v>
      </c>
      <c r="AL15" s="132">
        <f>SUM(B15:AK15)</f>
        <v>67813.05</v>
      </c>
      <c r="AM15" s="132">
        <f>C69</f>
        <v>67837</v>
      </c>
      <c r="AN15" s="132">
        <f>AL15-AM15</f>
        <v>-23.94999999999709</v>
      </c>
    </row>
    <row r="16" spans="4:40" ht="12.75"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</row>
    <row r="17" spans="1:40" ht="12.75">
      <c r="A17" s="116" t="s">
        <v>114</v>
      </c>
      <c r="B17" s="144">
        <f>B15</f>
        <v>3037.5</v>
      </c>
      <c r="C17" s="132">
        <f aca="true" t="shared" si="5" ref="C17:AK17">B17+C15</f>
        <v>6179.85</v>
      </c>
      <c r="D17" s="132">
        <f t="shared" si="5"/>
        <v>9421.7</v>
      </c>
      <c r="E17" s="132">
        <f t="shared" si="5"/>
        <v>12590.650000000001</v>
      </c>
      <c r="F17" s="132">
        <f t="shared" si="5"/>
        <v>15684.800000000003</v>
      </c>
      <c r="G17" s="132">
        <f t="shared" si="5"/>
        <v>18703.15</v>
      </c>
      <c r="H17" s="132">
        <f t="shared" si="5"/>
        <v>21644.65</v>
      </c>
      <c r="I17" s="132">
        <f t="shared" si="5"/>
        <v>24508.300000000003</v>
      </c>
      <c r="J17" s="132">
        <f t="shared" si="5"/>
        <v>27293.100000000002</v>
      </c>
      <c r="K17" s="132">
        <f t="shared" si="5"/>
        <v>29998.050000000003</v>
      </c>
      <c r="L17" s="132">
        <f t="shared" si="5"/>
        <v>32621.250000000004</v>
      </c>
      <c r="M17" s="132">
        <f t="shared" si="5"/>
        <v>35161.65</v>
      </c>
      <c r="N17" s="132">
        <f t="shared" si="5"/>
        <v>37618.200000000004</v>
      </c>
      <c r="O17" s="132">
        <f t="shared" si="5"/>
        <v>39989.9</v>
      </c>
      <c r="P17" s="132">
        <f t="shared" si="5"/>
        <v>42274.85</v>
      </c>
      <c r="Q17" s="132">
        <f t="shared" si="5"/>
        <v>44472</v>
      </c>
      <c r="R17" s="132">
        <f t="shared" si="5"/>
        <v>46580.3</v>
      </c>
      <c r="S17" s="132">
        <f t="shared" si="5"/>
        <v>48597.850000000006</v>
      </c>
      <c r="T17" s="132">
        <f t="shared" si="5"/>
        <v>50523.600000000006</v>
      </c>
      <c r="U17" s="132">
        <f t="shared" si="5"/>
        <v>52356.50000000001</v>
      </c>
      <c r="V17" s="132">
        <f t="shared" si="5"/>
        <v>54094.65000000001</v>
      </c>
      <c r="W17" s="132">
        <f t="shared" si="5"/>
        <v>55737.00000000001</v>
      </c>
      <c r="X17" s="132">
        <f t="shared" si="5"/>
        <v>57282.50000000001</v>
      </c>
      <c r="Y17" s="132">
        <f t="shared" si="5"/>
        <v>58729.25000000001</v>
      </c>
      <c r="Z17" s="132">
        <f t="shared" si="5"/>
        <v>60075.30000000001</v>
      </c>
      <c r="AA17" s="132">
        <f t="shared" si="5"/>
        <v>61319.55000000001</v>
      </c>
      <c r="AB17" s="132">
        <f t="shared" si="5"/>
        <v>62460.05000000001</v>
      </c>
      <c r="AC17" s="132">
        <f t="shared" si="5"/>
        <v>63495.75000000001</v>
      </c>
      <c r="AD17" s="132">
        <f t="shared" si="5"/>
        <v>64425.600000000006</v>
      </c>
      <c r="AE17" s="132">
        <f t="shared" si="5"/>
        <v>65246.8</v>
      </c>
      <c r="AF17" s="132">
        <f t="shared" si="5"/>
        <v>65958.25</v>
      </c>
      <c r="AG17" s="132">
        <f t="shared" si="5"/>
        <v>66558.85</v>
      </c>
      <c r="AH17" s="132">
        <f t="shared" si="5"/>
        <v>67045.8</v>
      </c>
      <c r="AI17" s="132">
        <f t="shared" si="5"/>
        <v>67418.90000000001</v>
      </c>
      <c r="AJ17" s="132">
        <f t="shared" si="5"/>
        <v>67675.3</v>
      </c>
      <c r="AK17" s="132">
        <f t="shared" si="5"/>
        <v>67813.05</v>
      </c>
      <c r="AL17" s="132">
        <f>SUM(B17:Y17)</f>
        <v>825101.25</v>
      </c>
      <c r="AM17" s="132"/>
      <c r="AN17" s="132"/>
    </row>
    <row r="20" ht="12.75">
      <c r="B20" s="145"/>
    </row>
    <row r="21" spans="1:2" ht="13.5" thickBot="1">
      <c r="A21" s="116" t="s">
        <v>115</v>
      </c>
      <c r="B21" s="145">
        <f>-ROUND(PMT(Assumptions!$C$28/12,Assumptions!$C$27,E25),0)</f>
        <v>8134</v>
      </c>
    </row>
    <row r="22" spans="1:3" ht="14.25" thickBot="1" thickTop="1">
      <c r="A22" s="116" t="s">
        <v>116</v>
      </c>
      <c r="B22" s="146">
        <f>Assumptions!C28/12</f>
        <v>0.015</v>
      </c>
      <c r="C22" s="147"/>
    </row>
    <row r="23" ht="13.5" thickTop="1"/>
    <row r="24" spans="1:48" ht="12.75">
      <c r="A24" s="116" t="s">
        <v>117</v>
      </c>
      <c r="B24" s="116" t="s">
        <v>117</v>
      </c>
      <c r="C24" s="116" t="s">
        <v>113</v>
      </c>
      <c r="D24" s="116" t="s">
        <v>111</v>
      </c>
      <c r="E24" s="116" t="s">
        <v>118</v>
      </c>
      <c r="G24" s="116" t="s">
        <v>246</v>
      </c>
      <c r="H24" s="148">
        <v>1</v>
      </c>
      <c r="I24" s="148">
        <v>2</v>
      </c>
      <c r="J24" s="148">
        <v>3</v>
      </c>
      <c r="K24" s="148">
        <v>4</v>
      </c>
      <c r="L24" s="148">
        <v>5</v>
      </c>
      <c r="M24" s="148">
        <v>6</v>
      </c>
      <c r="N24" s="148">
        <v>7</v>
      </c>
      <c r="O24" s="148">
        <v>8</v>
      </c>
      <c r="P24" s="148">
        <v>9</v>
      </c>
      <c r="Q24" s="148">
        <v>10</v>
      </c>
      <c r="R24" s="148">
        <v>11</v>
      </c>
      <c r="S24" s="148">
        <v>12</v>
      </c>
      <c r="T24" s="148">
        <v>13</v>
      </c>
      <c r="U24" s="148">
        <v>14</v>
      </c>
      <c r="V24" s="148">
        <v>15</v>
      </c>
      <c r="W24" s="148">
        <v>16</v>
      </c>
      <c r="X24" s="148">
        <v>17</v>
      </c>
      <c r="Y24" s="148">
        <v>18</v>
      </c>
      <c r="Z24" s="148">
        <v>19</v>
      </c>
      <c r="AA24" s="148">
        <v>20</v>
      </c>
      <c r="AB24" s="148">
        <v>21</v>
      </c>
      <c r="AC24" s="148">
        <v>22</v>
      </c>
      <c r="AD24" s="148">
        <v>23</v>
      </c>
      <c r="AE24" s="148">
        <v>24</v>
      </c>
      <c r="AF24" s="148">
        <v>25</v>
      </c>
      <c r="AG24" s="148">
        <v>26</v>
      </c>
      <c r="AH24" s="148">
        <v>27</v>
      </c>
      <c r="AI24" s="148">
        <v>28</v>
      </c>
      <c r="AJ24" s="148">
        <v>29</v>
      </c>
      <c r="AK24" s="148">
        <v>30</v>
      </c>
      <c r="AL24" s="149">
        <v>31</v>
      </c>
      <c r="AM24" s="149">
        <v>32</v>
      </c>
      <c r="AN24" s="149">
        <v>33</v>
      </c>
      <c r="AO24" s="149">
        <v>34</v>
      </c>
      <c r="AP24" s="149">
        <v>35</v>
      </c>
      <c r="AQ24" s="149">
        <v>36</v>
      </c>
      <c r="AR24" s="149">
        <v>37</v>
      </c>
      <c r="AS24" s="149">
        <v>38</v>
      </c>
      <c r="AT24" s="149">
        <v>39</v>
      </c>
      <c r="AU24" s="149">
        <v>40</v>
      </c>
      <c r="AV24" s="149">
        <v>41</v>
      </c>
    </row>
    <row r="25" spans="2:5" ht="12.75">
      <c r="B25" s="132"/>
      <c r="C25" s="132"/>
      <c r="D25" s="132"/>
      <c r="E25" s="132">
        <f>Assumptions!C15*Assumptions!C14</f>
        <v>225000</v>
      </c>
    </row>
    <row r="26" spans="1:10" ht="12.75">
      <c r="A26" s="148">
        <v>1</v>
      </c>
      <c r="B26" s="132">
        <f aca="true" t="shared" si="6" ref="B26:B64">IF(E25&lt;$B$21,E25+C26,$B$21)</f>
        <v>8134</v>
      </c>
      <c r="C26" s="132">
        <f aca="true" t="shared" si="7" ref="C26:C55">ROUND(E25*$B$22,0)</f>
        <v>3375</v>
      </c>
      <c r="D26" s="132">
        <f aca="true" t="shared" si="8" ref="D26:D55">B26-C26</f>
        <v>4759</v>
      </c>
      <c r="E26" s="132">
        <f aca="true" t="shared" si="9" ref="E26:E59">E25-D26</f>
        <v>220241</v>
      </c>
      <c r="G26" s="116">
        <f>D26</f>
        <v>4759</v>
      </c>
      <c r="H26" s="116">
        <f>G26*0.9</f>
        <v>4283.1</v>
      </c>
      <c r="I26" s="116">
        <f>G26*0.05</f>
        <v>237.95000000000002</v>
      </c>
      <c r="J26" s="116">
        <f>G26*0.05</f>
        <v>237.95000000000002</v>
      </c>
    </row>
    <row r="27" spans="1:11" ht="12.75">
      <c r="A27" s="148">
        <v>2</v>
      </c>
      <c r="B27" s="132">
        <f t="shared" si="6"/>
        <v>8134</v>
      </c>
      <c r="C27" s="132">
        <f t="shared" si="7"/>
        <v>3304</v>
      </c>
      <c r="D27" s="132">
        <f t="shared" si="8"/>
        <v>4830</v>
      </c>
      <c r="E27" s="132">
        <f t="shared" si="9"/>
        <v>215411</v>
      </c>
      <c r="G27" s="116">
        <f aca="true" t="shared" si="10" ref="G27:G64">D27</f>
        <v>4830</v>
      </c>
      <c r="I27" s="116">
        <f>G27*0.9</f>
        <v>4347</v>
      </c>
      <c r="J27" s="116">
        <f>G27*0.05</f>
        <v>241.5</v>
      </c>
      <c r="K27" s="116">
        <f>G27*0.05</f>
        <v>241.5</v>
      </c>
    </row>
    <row r="28" spans="1:12" ht="12.75">
      <c r="A28" s="148">
        <v>3</v>
      </c>
      <c r="B28" s="132">
        <f t="shared" si="6"/>
        <v>8134</v>
      </c>
      <c r="C28" s="132">
        <f t="shared" si="7"/>
        <v>3231</v>
      </c>
      <c r="D28" s="132">
        <f t="shared" si="8"/>
        <v>4903</v>
      </c>
      <c r="E28" s="132">
        <f t="shared" si="9"/>
        <v>210508</v>
      </c>
      <c r="G28" s="116">
        <f t="shared" si="10"/>
        <v>4903</v>
      </c>
      <c r="J28" s="116">
        <f>G28*0.9</f>
        <v>4412.7</v>
      </c>
      <c r="K28" s="116">
        <f>G28*0.05</f>
        <v>245.15</v>
      </c>
      <c r="L28" s="116">
        <f>G28*0.05</f>
        <v>245.15</v>
      </c>
    </row>
    <row r="29" spans="1:13" ht="12.75">
      <c r="A29" s="148">
        <v>4</v>
      </c>
      <c r="B29" s="132">
        <f t="shared" si="6"/>
        <v>8134</v>
      </c>
      <c r="C29" s="132">
        <f t="shared" si="7"/>
        <v>3158</v>
      </c>
      <c r="D29" s="132">
        <f t="shared" si="8"/>
        <v>4976</v>
      </c>
      <c r="E29" s="132">
        <f t="shared" si="9"/>
        <v>205532</v>
      </c>
      <c r="G29" s="116">
        <f t="shared" si="10"/>
        <v>4976</v>
      </c>
      <c r="K29" s="116">
        <f>G29*0.9</f>
        <v>4478.400000000001</v>
      </c>
      <c r="L29" s="116">
        <f>G29*0.05</f>
        <v>248.8</v>
      </c>
      <c r="M29" s="116">
        <f>G29*0.05</f>
        <v>248.8</v>
      </c>
    </row>
    <row r="30" spans="1:14" ht="12.75">
      <c r="A30" s="148">
        <v>5</v>
      </c>
      <c r="B30" s="132">
        <f t="shared" si="6"/>
        <v>8134</v>
      </c>
      <c r="C30" s="132">
        <f t="shared" si="7"/>
        <v>3083</v>
      </c>
      <c r="D30" s="132">
        <f t="shared" si="8"/>
        <v>5051</v>
      </c>
      <c r="E30" s="132">
        <f t="shared" si="9"/>
        <v>200481</v>
      </c>
      <c r="G30" s="116">
        <f t="shared" si="10"/>
        <v>5051</v>
      </c>
      <c r="L30" s="116">
        <f>G30*0.9</f>
        <v>4545.900000000001</v>
      </c>
      <c r="M30" s="116">
        <f>G30*0.05</f>
        <v>252.55</v>
      </c>
      <c r="N30" s="116">
        <f>G30*0.05</f>
        <v>252.55</v>
      </c>
    </row>
    <row r="31" spans="1:15" ht="12.75">
      <c r="A31" s="148">
        <v>6</v>
      </c>
      <c r="B31" s="132">
        <f t="shared" si="6"/>
        <v>8134</v>
      </c>
      <c r="C31" s="132">
        <f t="shared" si="7"/>
        <v>3007</v>
      </c>
      <c r="D31" s="132">
        <f t="shared" si="8"/>
        <v>5127</v>
      </c>
      <c r="E31" s="132">
        <f t="shared" si="9"/>
        <v>195354</v>
      </c>
      <c r="G31" s="116">
        <f t="shared" si="10"/>
        <v>5127</v>
      </c>
      <c r="M31" s="116">
        <f>G31*0.9</f>
        <v>4614.3</v>
      </c>
      <c r="N31" s="116">
        <f>G31*0.05</f>
        <v>256.35</v>
      </c>
      <c r="O31" s="116">
        <f>G31*0.05</f>
        <v>256.35</v>
      </c>
    </row>
    <row r="32" spans="1:16" ht="12.75">
      <c r="A32" s="148">
        <v>7</v>
      </c>
      <c r="B32" s="132">
        <f t="shared" si="6"/>
        <v>8134</v>
      </c>
      <c r="C32" s="132">
        <f t="shared" si="7"/>
        <v>2930</v>
      </c>
      <c r="D32" s="132">
        <f t="shared" si="8"/>
        <v>5204</v>
      </c>
      <c r="E32" s="132">
        <f t="shared" si="9"/>
        <v>190150</v>
      </c>
      <c r="G32" s="116">
        <f t="shared" si="10"/>
        <v>5204</v>
      </c>
      <c r="N32" s="116">
        <f>G32*0.9</f>
        <v>4683.6</v>
      </c>
      <c r="O32" s="116">
        <f>G32*0.05</f>
        <v>260.2</v>
      </c>
      <c r="P32" s="116">
        <f>G32*0.05</f>
        <v>260.2</v>
      </c>
    </row>
    <row r="33" spans="1:17" ht="12.75">
      <c r="A33" s="148">
        <v>8</v>
      </c>
      <c r="B33" s="132">
        <f t="shared" si="6"/>
        <v>8134</v>
      </c>
      <c r="C33" s="132">
        <f t="shared" si="7"/>
        <v>2852</v>
      </c>
      <c r="D33" s="132">
        <f t="shared" si="8"/>
        <v>5282</v>
      </c>
      <c r="E33" s="132">
        <f t="shared" si="9"/>
        <v>184868</v>
      </c>
      <c r="G33" s="116">
        <f t="shared" si="10"/>
        <v>5282</v>
      </c>
      <c r="O33" s="116">
        <f>G33*0.9</f>
        <v>4753.8</v>
      </c>
      <c r="P33" s="116">
        <f>G33*0.05</f>
        <v>264.1</v>
      </c>
      <c r="Q33" s="116">
        <f>G33*0.05</f>
        <v>264.1</v>
      </c>
    </row>
    <row r="34" spans="1:18" ht="12.75">
      <c r="A34" s="148">
        <v>9</v>
      </c>
      <c r="B34" s="132">
        <f t="shared" si="6"/>
        <v>8134</v>
      </c>
      <c r="C34" s="132">
        <f t="shared" si="7"/>
        <v>2773</v>
      </c>
      <c r="D34" s="132">
        <f t="shared" si="8"/>
        <v>5361</v>
      </c>
      <c r="E34" s="132">
        <f t="shared" si="9"/>
        <v>179507</v>
      </c>
      <c r="G34" s="116">
        <f t="shared" si="10"/>
        <v>5361</v>
      </c>
      <c r="P34" s="116">
        <f>G34*0.9</f>
        <v>4824.900000000001</v>
      </c>
      <c r="Q34" s="116">
        <f>G34*0.05</f>
        <v>268.05</v>
      </c>
      <c r="R34" s="116">
        <f>G34*0.05</f>
        <v>268.05</v>
      </c>
    </row>
    <row r="35" spans="1:19" ht="12.75">
      <c r="A35" s="148">
        <v>10</v>
      </c>
      <c r="B35" s="132">
        <f t="shared" si="6"/>
        <v>8134</v>
      </c>
      <c r="C35" s="132">
        <f t="shared" si="7"/>
        <v>2693</v>
      </c>
      <c r="D35" s="132">
        <f t="shared" si="8"/>
        <v>5441</v>
      </c>
      <c r="E35" s="132">
        <f t="shared" si="9"/>
        <v>174066</v>
      </c>
      <c r="G35" s="116">
        <f t="shared" si="10"/>
        <v>5441</v>
      </c>
      <c r="Q35" s="116">
        <f>G35*0.9</f>
        <v>4896.900000000001</v>
      </c>
      <c r="R35" s="116">
        <f>G35*0.05</f>
        <v>272.05</v>
      </c>
      <c r="S35" s="116">
        <f>G35*0.05</f>
        <v>272.05</v>
      </c>
    </row>
    <row r="36" spans="1:20" ht="12.75">
      <c r="A36" s="148">
        <v>11</v>
      </c>
      <c r="B36" s="132">
        <f t="shared" si="6"/>
        <v>8134</v>
      </c>
      <c r="C36" s="132">
        <f t="shared" si="7"/>
        <v>2611</v>
      </c>
      <c r="D36" s="132">
        <f t="shared" si="8"/>
        <v>5523</v>
      </c>
      <c r="E36" s="132">
        <f t="shared" si="9"/>
        <v>168543</v>
      </c>
      <c r="G36" s="116">
        <f t="shared" si="10"/>
        <v>5523</v>
      </c>
      <c r="R36" s="116">
        <f>G36*0.9</f>
        <v>4970.7</v>
      </c>
      <c r="S36" s="116">
        <f>G36*0.05</f>
        <v>276.15000000000003</v>
      </c>
      <c r="T36" s="116">
        <f>G36*0.05</f>
        <v>276.15000000000003</v>
      </c>
    </row>
    <row r="37" spans="1:21" ht="12.75">
      <c r="A37" s="148">
        <v>12</v>
      </c>
      <c r="B37" s="132">
        <f t="shared" si="6"/>
        <v>8134</v>
      </c>
      <c r="C37" s="132">
        <f t="shared" si="7"/>
        <v>2528</v>
      </c>
      <c r="D37" s="132">
        <f t="shared" si="8"/>
        <v>5606</v>
      </c>
      <c r="E37" s="132">
        <f t="shared" si="9"/>
        <v>162937</v>
      </c>
      <c r="G37" s="116">
        <f t="shared" si="10"/>
        <v>5606</v>
      </c>
      <c r="S37" s="116">
        <f>G37*0.9</f>
        <v>5045.400000000001</v>
      </c>
      <c r="T37" s="116">
        <f>G37*0.05</f>
        <v>280.3</v>
      </c>
      <c r="U37" s="116">
        <f>G37*0.05</f>
        <v>280.3</v>
      </c>
    </row>
    <row r="38" spans="1:22" ht="12.75">
      <c r="A38" s="148">
        <v>13</v>
      </c>
      <c r="B38" s="132">
        <f t="shared" si="6"/>
        <v>8134</v>
      </c>
      <c r="C38" s="132">
        <f t="shared" si="7"/>
        <v>2444</v>
      </c>
      <c r="D38" s="132">
        <f t="shared" si="8"/>
        <v>5690</v>
      </c>
      <c r="E38" s="132">
        <f t="shared" si="9"/>
        <v>157247</v>
      </c>
      <c r="G38" s="116">
        <f t="shared" si="10"/>
        <v>5690</v>
      </c>
      <c r="T38" s="116">
        <f>G38*0.9</f>
        <v>5121</v>
      </c>
      <c r="U38" s="116">
        <f>G38*0.05</f>
        <v>284.5</v>
      </c>
      <c r="V38" s="116">
        <f>G38*0.05</f>
        <v>284.5</v>
      </c>
    </row>
    <row r="39" spans="1:23" ht="12.75">
      <c r="A39" s="148">
        <v>14</v>
      </c>
      <c r="B39" s="132">
        <f t="shared" si="6"/>
        <v>8134</v>
      </c>
      <c r="C39" s="132">
        <f t="shared" si="7"/>
        <v>2359</v>
      </c>
      <c r="D39" s="132">
        <f t="shared" si="8"/>
        <v>5775</v>
      </c>
      <c r="E39" s="132">
        <f t="shared" si="9"/>
        <v>151472</v>
      </c>
      <c r="G39" s="116">
        <f t="shared" si="10"/>
        <v>5775</v>
      </c>
      <c r="U39" s="116">
        <f>G39*0.9</f>
        <v>5197.5</v>
      </c>
      <c r="V39" s="116">
        <f>G39*0.05</f>
        <v>288.75</v>
      </c>
      <c r="W39" s="116">
        <f>G39*0.05</f>
        <v>288.75</v>
      </c>
    </row>
    <row r="40" spans="1:24" ht="12.75">
      <c r="A40" s="148">
        <v>15</v>
      </c>
      <c r="B40" s="132">
        <f t="shared" si="6"/>
        <v>8134</v>
      </c>
      <c r="C40" s="132">
        <f t="shared" si="7"/>
        <v>2272</v>
      </c>
      <c r="D40" s="132">
        <f t="shared" si="8"/>
        <v>5862</v>
      </c>
      <c r="E40" s="132">
        <f t="shared" si="9"/>
        <v>145610</v>
      </c>
      <c r="G40" s="116">
        <f t="shared" si="10"/>
        <v>5862</v>
      </c>
      <c r="V40" s="116">
        <f>G40*0.9</f>
        <v>5275.8</v>
      </c>
      <c r="W40" s="116">
        <f>G40*0.05</f>
        <v>293.1</v>
      </c>
      <c r="X40" s="116">
        <f>G40*0.05</f>
        <v>293.1</v>
      </c>
    </row>
    <row r="41" spans="1:25" ht="12.75">
      <c r="A41" s="148">
        <v>16</v>
      </c>
      <c r="B41" s="132">
        <f t="shared" si="6"/>
        <v>8134</v>
      </c>
      <c r="C41" s="132">
        <f t="shared" si="7"/>
        <v>2184</v>
      </c>
      <c r="D41" s="132">
        <f t="shared" si="8"/>
        <v>5950</v>
      </c>
      <c r="E41" s="132">
        <f t="shared" si="9"/>
        <v>139660</v>
      </c>
      <c r="G41" s="116">
        <f t="shared" si="10"/>
        <v>5950</v>
      </c>
      <c r="W41" s="116">
        <f>G41*0.9</f>
        <v>5355</v>
      </c>
      <c r="X41" s="116">
        <f>G41*0.05</f>
        <v>297.5</v>
      </c>
      <c r="Y41" s="116">
        <f>G41*0.05</f>
        <v>297.5</v>
      </c>
    </row>
    <row r="42" spans="1:26" ht="12.75">
      <c r="A42" s="148">
        <v>17</v>
      </c>
      <c r="B42" s="132">
        <f t="shared" si="6"/>
        <v>8134</v>
      </c>
      <c r="C42" s="132">
        <f t="shared" si="7"/>
        <v>2095</v>
      </c>
      <c r="D42" s="132">
        <f t="shared" si="8"/>
        <v>6039</v>
      </c>
      <c r="E42" s="132">
        <f t="shared" si="9"/>
        <v>133621</v>
      </c>
      <c r="G42" s="116">
        <f t="shared" si="10"/>
        <v>6039</v>
      </c>
      <c r="X42" s="116">
        <f>G42*0.9</f>
        <v>5435.1</v>
      </c>
      <c r="Y42" s="116">
        <f>G42*0.05</f>
        <v>301.95</v>
      </c>
      <c r="Z42" s="116">
        <f>G42*0.05</f>
        <v>301.95</v>
      </c>
    </row>
    <row r="43" spans="1:27" ht="12.75">
      <c r="A43" s="148">
        <v>18</v>
      </c>
      <c r="B43" s="132">
        <f t="shared" si="6"/>
        <v>8134</v>
      </c>
      <c r="C43" s="132">
        <f t="shared" si="7"/>
        <v>2004</v>
      </c>
      <c r="D43" s="132">
        <f t="shared" si="8"/>
        <v>6130</v>
      </c>
      <c r="E43" s="132">
        <f t="shared" si="9"/>
        <v>127491</v>
      </c>
      <c r="G43" s="116">
        <f t="shared" si="10"/>
        <v>6130</v>
      </c>
      <c r="Y43" s="116">
        <f>G43*0.9</f>
        <v>5517</v>
      </c>
      <c r="Z43" s="116">
        <f>G43*0.05</f>
        <v>306.5</v>
      </c>
      <c r="AA43" s="116">
        <f>G43*0.05</f>
        <v>306.5</v>
      </c>
    </row>
    <row r="44" spans="1:28" ht="12.75">
      <c r="A44" s="148">
        <v>19</v>
      </c>
      <c r="B44" s="132">
        <f t="shared" si="6"/>
        <v>8134</v>
      </c>
      <c r="C44" s="132">
        <f t="shared" si="7"/>
        <v>1912</v>
      </c>
      <c r="D44" s="132">
        <f t="shared" si="8"/>
        <v>6222</v>
      </c>
      <c r="E44" s="132">
        <f t="shared" si="9"/>
        <v>121269</v>
      </c>
      <c r="G44" s="116">
        <f t="shared" si="10"/>
        <v>6222</v>
      </c>
      <c r="Z44" s="116">
        <f>G44*0.9</f>
        <v>5599.8</v>
      </c>
      <c r="AA44" s="116">
        <f>G44*0.05</f>
        <v>311.1</v>
      </c>
      <c r="AB44" s="116">
        <f>G44*0.05</f>
        <v>311.1</v>
      </c>
    </row>
    <row r="45" spans="1:29" ht="12.75">
      <c r="A45" s="148">
        <v>20</v>
      </c>
      <c r="B45" s="132">
        <f t="shared" si="6"/>
        <v>8134</v>
      </c>
      <c r="C45" s="132">
        <f t="shared" si="7"/>
        <v>1819</v>
      </c>
      <c r="D45" s="132">
        <f t="shared" si="8"/>
        <v>6315</v>
      </c>
      <c r="E45" s="132">
        <f t="shared" si="9"/>
        <v>114954</v>
      </c>
      <c r="G45" s="116">
        <f t="shared" si="10"/>
        <v>6315</v>
      </c>
      <c r="AA45" s="116">
        <f>G45*0.9</f>
        <v>5683.5</v>
      </c>
      <c r="AB45" s="116">
        <f>G45*0.05</f>
        <v>315.75</v>
      </c>
      <c r="AC45" s="116">
        <f>G45*0.05</f>
        <v>315.75</v>
      </c>
    </row>
    <row r="46" spans="1:30" ht="12.75">
      <c r="A46" s="148">
        <v>21</v>
      </c>
      <c r="B46" s="132">
        <f t="shared" si="6"/>
        <v>8134</v>
      </c>
      <c r="C46" s="132">
        <f t="shared" si="7"/>
        <v>1724</v>
      </c>
      <c r="D46" s="132">
        <f t="shared" si="8"/>
        <v>6410</v>
      </c>
      <c r="E46" s="132">
        <f t="shared" si="9"/>
        <v>108544</v>
      </c>
      <c r="G46" s="116">
        <f t="shared" si="10"/>
        <v>6410</v>
      </c>
      <c r="AB46" s="116">
        <f>G46*0.9</f>
        <v>5769</v>
      </c>
      <c r="AC46" s="116">
        <f>G46*0.05</f>
        <v>320.5</v>
      </c>
      <c r="AD46" s="116">
        <f>G46*0.05</f>
        <v>320.5</v>
      </c>
    </row>
    <row r="47" spans="1:31" ht="12.75">
      <c r="A47" s="148">
        <v>22</v>
      </c>
      <c r="B47" s="132">
        <f t="shared" si="6"/>
        <v>8134</v>
      </c>
      <c r="C47" s="132">
        <f t="shared" si="7"/>
        <v>1628</v>
      </c>
      <c r="D47" s="132">
        <f t="shared" si="8"/>
        <v>6506</v>
      </c>
      <c r="E47" s="132">
        <f t="shared" si="9"/>
        <v>102038</v>
      </c>
      <c r="G47" s="116">
        <f t="shared" si="10"/>
        <v>6506</v>
      </c>
      <c r="AC47" s="116">
        <f>G47*0.9</f>
        <v>5855.400000000001</v>
      </c>
      <c r="AD47" s="116">
        <f>G47*0.05</f>
        <v>325.3</v>
      </c>
      <c r="AE47" s="116">
        <f>G47*0.05</f>
        <v>325.3</v>
      </c>
    </row>
    <row r="48" spans="1:32" ht="12.75">
      <c r="A48" s="148">
        <v>23</v>
      </c>
      <c r="B48" s="132">
        <f t="shared" si="6"/>
        <v>8134</v>
      </c>
      <c r="C48" s="132">
        <f t="shared" si="7"/>
        <v>1531</v>
      </c>
      <c r="D48" s="132">
        <f t="shared" si="8"/>
        <v>6603</v>
      </c>
      <c r="E48" s="132">
        <f t="shared" si="9"/>
        <v>95435</v>
      </c>
      <c r="G48" s="116">
        <f t="shared" si="10"/>
        <v>6603</v>
      </c>
      <c r="AD48" s="116">
        <f>G48*0.9</f>
        <v>5942.7</v>
      </c>
      <c r="AE48" s="116">
        <f>G48*0.05</f>
        <v>330.15000000000003</v>
      </c>
      <c r="AF48" s="116">
        <f>G48*0.05</f>
        <v>330.15000000000003</v>
      </c>
    </row>
    <row r="49" spans="1:33" ht="12.75">
      <c r="A49" s="148">
        <v>24</v>
      </c>
      <c r="B49" s="132">
        <f t="shared" si="6"/>
        <v>8134</v>
      </c>
      <c r="C49" s="132">
        <f t="shared" si="7"/>
        <v>1432</v>
      </c>
      <c r="D49" s="132">
        <f t="shared" si="8"/>
        <v>6702</v>
      </c>
      <c r="E49" s="132">
        <f t="shared" si="9"/>
        <v>88733</v>
      </c>
      <c r="G49" s="116">
        <f t="shared" si="10"/>
        <v>6702</v>
      </c>
      <c r="AE49" s="116">
        <f>G49*0.9</f>
        <v>6031.8</v>
      </c>
      <c r="AF49" s="116">
        <f>G49*0.05</f>
        <v>335.1</v>
      </c>
      <c r="AG49" s="116">
        <f>G49*0.05</f>
        <v>335.1</v>
      </c>
    </row>
    <row r="50" spans="1:34" ht="12.75">
      <c r="A50" s="148">
        <v>25</v>
      </c>
      <c r="B50" s="132">
        <f t="shared" si="6"/>
        <v>8134</v>
      </c>
      <c r="C50" s="132">
        <f t="shared" si="7"/>
        <v>1331</v>
      </c>
      <c r="D50" s="132">
        <f t="shared" si="8"/>
        <v>6803</v>
      </c>
      <c r="E50" s="132">
        <f t="shared" si="9"/>
        <v>81930</v>
      </c>
      <c r="G50" s="116">
        <f t="shared" si="10"/>
        <v>6803</v>
      </c>
      <c r="AF50" s="116">
        <f>G50*0.9</f>
        <v>6122.7</v>
      </c>
      <c r="AG50" s="116">
        <f>G50*0.05</f>
        <v>340.15000000000003</v>
      </c>
      <c r="AH50" s="116">
        <f>G50*0.05</f>
        <v>340.15000000000003</v>
      </c>
    </row>
    <row r="51" spans="1:35" ht="12.75">
      <c r="A51" s="148">
        <v>26</v>
      </c>
      <c r="B51" s="132">
        <f t="shared" si="6"/>
        <v>8134</v>
      </c>
      <c r="C51" s="132">
        <f t="shared" si="7"/>
        <v>1229</v>
      </c>
      <c r="D51" s="132">
        <f t="shared" si="8"/>
        <v>6905</v>
      </c>
      <c r="E51" s="132">
        <f t="shared" si="9"/>
        <v>75025</v>
      </c>
      <c r="G51" s="116">
        <f t="shared" si="10"/>
        <v>6905</v>
      </c>
      <c r="AG51" s="116">
        <f>G51*0.9</f>
        <v>6214.5</v>
      </c>
      <c r="AH51" s="116">
        <f>G51*0.05</f>
        <v>345.25</v>
      </c>
      <c r="AI51" s="116">
        <f>G51*0.05</f>
        <v>345.25</v>
      </c>
    </row>
    <row r="52" spans="1:36" ht="12.75">
      <c r="A52" s="148">
        <v>27</v>
      </c>
      <c r="B52" s="132">
        <f t="shared" si="6"/>
        <v>8134</v>
      </c>
      <c r="C52" s="132">
        <f t="shared" si="7"/>
        <v>1125</v>
      </c>
      <c r="D52" s="132">
        <f t="shared" si="8"/>
        <v>7009</v>
      </c>
      <c r="E52" s="132">
        <f t="shared" si="9"/>
        <v>68016</v>
      </c>
      <c r="G52" s="116">
        <f t="shared" si="10"/>
        <v>7009</v>
      </c>
      <c r="AH52" s="116">
        <f>G52*0.9</f>
        <v>6308.1</v>
      </c>
      <c r="AI52" s="116">
        <f>G52*0.05</f>
        <v>350.45000000000005</v>
      </c>
      <c r="AJ52" s="116">
        <f>G52*0.05</f>
        <v>350.45000000000005</v>
      </c>
    </row>
    <row r="53" spans="1:37" ht="12.75">
      <c r="A53" s="148">
        <v>28</v>
      </c>
      <c r="B53" s="132">
        <f t="shared" si="6"/>
        <v>8134</v>
      </c>
      <c r="C53" s="132">
        <f t="shared" si="7"/>
        <v>1020</v>
      </c>
      <c r="D53" s="132">
        <f t="shared" si="8"/>
        <v>7114</v>
      </c>
      <c r="E53" s="132">
        <f t="shared" si="9"/>
        <v>60902</v>
      </c>
      <c r="G53" s="116">
        <f t="shared" si="10"/>
        <v>7114</v>
      </c>
      <c r="AI53" s="116">
        <f>G53*0.9</f>
        <v>6402.6</v>
      </c>
      <c r="AJ53" s="116">
        <f>G53*0.05</f>
        <v>355.70000000000005</v>
      </c>
      <c r="AK53" s="116">
        <f>G53*0.05</f>
        <v>355.70000000000005</v>
      </c>
    </row>
    <row r="54" spans="1:38" ht="12.75">
      <c r="A54" s="148">
        <v>29</v>
      </c>
      <c r="B54" s="132">
        <f t="shared" si="6"/>
        <v>8134</v>
      </c>
      <c r="C54" s="132">
        <f t="shared" si="7"/>
        <v>914</v>
      </c>
      <c r="D54" s="132">
        <f t="shared" si="8"/>
        <v>7220</v>
      </c>
      <c r="E54" s="132">
        <f t="shared" si="9"/>
        <v>53682</v>
      </c>
      <c r="G54" s="116">
        <f t="shared" si="10"/>
        <v>7220</v>
      </c>
      <c r="AJ54" s="116">
        <f>G54*0.9</f>
        <v>6498</v>
      </c>
      <c r="AK54" s="116">
        <f>G54*0.05</f>
        <v>361</v>
      </c>
      <c r="AL54" s="116">
        <f>G54*0.05</f>
        <v>361</v>
      </c>
    </row>
    <row r="55" spans="1:39" ht="12.75">
      <c r="A55" s="148">
        <v>30</v>
      </c>
      <c r="B55" s="132">
        <f t="shared" si="6"/>
        <v>8134</v>
      </c>
      <c r="C55" s="132">
        <f t="shared" si="7"/>
        <v>805</v>
      </c>
      <c r="D55" s="132">
        <f t="shared" si="8"/>
        <v>7329</v>
      </c>
      <c r="E55" s="132">
        <f t="shared" si="9"/>
        <v>46353</v>
      </c>
      <c r="G55" s="116">
        <f t="shared" si="10"/>
        <v>7329</v>
      </c>
      <c r="AK55" s="116">
        <f>G55*0.9</f>
        <v>6596.1</v>
      </c>
      <c r="AL55" s="116">
        <f>G55*0.05</f>
        <v>366.45000000000005</v>
      </c>
      <c r="AM55" s="116">
        <f>G55*0.05</f>
        <v>366.45000000000005</v>
      </c>
    </row>
    <row r="56" spans="1:40" ht="12.75">
      <c r="A56" s="148">
        <v>31</v>
      </c>
      <c r="B56" s="132">
        <f t="shared" si="6"/>
        <v>8134</v>
      </c>
      <c r="C56" s="132">
        <f aca="true" t="shared" si="11" ref="C56:C64">ROUND(E55*$B$22,0)</f>
        <v>695</v>
      </c>
      <c r="D56" s="132">
        <f aca="true" t="shared" si="12" ref="D56:D64">B56-C56</f>
        <v>7439</v>
      </c>
      <c r="E56" s="132">
        <f t="shared" si="9"/>
        <v>38914</v>
      </c>
      <c r="G56" s="116">
        <f t="shared" si="10"/>
        <v>7439</v>
      </c>
      <c r="AL56" s="116">
        <f>G56*0.9</f>
        <v>6695.1</v>
      </c>
      <c r="AM56" s="116">
        <f>G56*0.05</f>
        <v>371.95000000000005</v>
      </c>
      <c r="AN56" s="116">
        <f>G56*0.05</f>
        <v>371.95000000000005</v>
      </c>
    </row>
    <row r="57" spans="1:41" ht="12.75">
      <c r="A57" s="148">
        <v>32</v>
      </c>
      <c r="B57" s="132">
        <f t="shared" si="6"/>
        <v>8134</v>
      </c>
      <c r="C57" s="132">
        <f t="shared" si="11"/>
        <v>584</v>
      </c>
      <c r="D57" s="132">
        <f t="shared" si="12"/>
        <v>7550</v>
      </c>
      <c r="E57" s="132">
        <f t="shared" si="9"/>
        <v>31364</v>
      </c>
      <c r="G57" s="116">
        <f t="shared" si="10"/>
        <v>7550</v>
      </c>
      <c r="AM57" s="116">
        <f>G57*0.9</f>
        <v>6795</v>
      </c>
      <c r="AN57" s="116">
        <f>G57*0.05</f>
        <v>377.5</v>
      </c>
      <c r="AO57" s="116">
        <f>G57*0.05</f>
        <v>377.5</v>
      </c>
    </row>
    <row r="58" spans="1:42" ht="12.75">
      <c r="A58" s="148">
        <v>33</v>
      </c>
      <c r="B58" s="132">
        <f t="shared" si="6"/>
        <v>8134</v>
      </c>
      <c r="C58" s="132">
        <f t="shared" si="11"/>
        <v>470</v>
      </c>
      <c r="D58" s="132">
        <f t="shared" si="12"/>
        <v>7664</v>
      </c>
      <c r="E58" s="132">
        <f t="shared" si="9"/>
        <v>23700</v>
      </c>
      <c r="G58" s="116">
        <f t="shared" si="10"/>
        <v>7664</v>
      </c>
      <c r="AN58" s="116">
        <f>G58*0.9</f>
        <v>6897.6</v>
      </c>
      <c r="AO58" s="116">
        <f>G58*0.05</f>
        <v>383.20000000000005</v>
      </c>
      <c r="AP58" s="116">
        <f>G58*0.05</f>
        <v>383.20000000000005</v>
      </c>
    </row>
    <row r="59" spans="1:43" ht="12.75">
      <c r="A59" s="148">
        <v>34</v>
      </c>
      <c r="B59" s="132">
        <f t="shared" si="6"/>
        <v>8134</v>
      </c>
      <c r="C59" s="132">
        <f t="shared" si="11"/>
        <v>356</v>
      </c>
      <c r="D59" s="132">
        <f t="shared" si="12"/>
        <v>7778</v>
      </c>
      <c r="E59" s="132">
        <f t="shared" si="9"/>
        <v>15922</v>
      </c>
      <c r="G59" s="116">
        <f t="shared" si="10"/>
        <v>7778</v>
      </c>
      <c r="AO59" s="116">
        <f>G59*0.9</f>
        <v>7000.2</v>
      </c>
      <c r="AP59" s="116">
        <f>G59*0.05</f>
        <v>388.90000000000003</v>
      </c>
      <c r="AQ59" s="116">
        <f>G59*0.05</f>
        <v>388.90000000000003</v>
      </c>
    </row>
    <row r="60" spans="1:44" ht="12.75">
      <c r="A60" s="148">
        <v>35</v>
      </c>
      <c r="B60" s="132">
        <f t="shared" si="6"/>
        <v>8134</v>
      </c>
      <c r="C60" s="132">
        <f t="shared" si="11"/>
        <v>239</v>
      </c>
      <c r="D60" s="132">
        <f t="shared" si="12"/>
        <v>7895</v>
      </c>
      <c r="E60" s="132">
        <f>E59-D60</f>
        <v>8027</v>
      </c>
      <c r="G60" s="116">
        <f t="shared" si="10"/>
        <v>7895</v>
      </c>
      <c r="AP60" s="116">
        <f>G60*0.9</f>
        <v>7105.5</v>
      </c>
      <c r="AQ60" s="116">
        <f>G60*0.05</f>
        <v>394.75</v>
      </c>
      <c r="AR60" s="116">
        <f>G60*0.05</f>
        <v>394.75</v>
      </c>
    </row>
    <row r="61" spans="1:45" ht="12.75">
      <c r="A61" s="148">
        <v>36</v>
      </c>
      <c r="B61" s="132">
        <f t="shared" si="6"/>
        <v>8147</v>
      </c>
      <c r="C61" s="132">
        <f t="shared" si="11"/>
        <v>120</v>
      </c>
      <c r="D61" s="132">
        <f t="shared" si="12"/>
        <v>8027</v>
      </c>
      <c r="E61" s="132">
        <f>E60-D61</f>
        <v>0</v>
      </c>
      <c r="G61" s="116">
        <f t="shared" si="10"/>
        <v>8027</v>
      </c>
      <c r="AQ61" s="116">
        <f>G61*0.9</f>
        <v>7224.3</v>
      </c>
      <c r="AR61" s="116">
        <f>G61*0.05</f>
        <v>401.35</v>
      </c>
      <c r="AS61" s="116">
        <f>G61*0.05</f>
        <v>401.35</v>
      </c>
    </row>
    <row r="62" spans="1:46" ht="12.75">
      <c r="A62" s="148">
        <v>37</v>
      </c>
      <c r="B62" s="132">
        <f t="shared" si="6"/>
        <v>0</v>
      </c>
      <c r="C62" s="132">
        <f t="shared" si="11"/>
        <v>0</v>
      </c>
      <c r="D62" s="132">
        <f t="shared" si="12"/>
        <v>0</v>
      </c>
      <c r="E62" s="132">
        <f>E61-D62</f>
        <v>0</v>
      </c>
      <c r="G62" s="116">
        <f t="shared" si="10"/>
        <v>0</v>
      </c>
      <c r="AR62" s="116">
        <f>G62*0.9</f>
        <v>0</v>
      </c>
      <c r="AS62" s="116">
        <f>G62*0.05</f>
        <v>0</v>
      </c>
      <c r="AT62" s="116">
        <f>G62*0.05</f>
        <v>0</v>
      </c>
    </row>
    <row r="63" spans="1:47" ht="12.75">
      <c r="A63" s="148">
        <v>38</v>
      </c>
      <c r="B63" s="132">
        <f t="shared" si="6"/>
        <v>0</v>
      </c>
      <c r="C63" s="132">
        <f t="shared" si="11"/>
        <v>0</v>
      </c>
      <c r="D63" s="132">
        <f t="shared" si="12"/>
        <v>0</v>
      </c>
      <c r="E63" s="132">
        <f>E62-D63</f>
        <v>0</v>
      </c>
      <c r="G63" s="116">
        <f t="shared" si="10"/>
        <v>0</v>
      </c>
      <c r="AS63" s="116">
        <f>G63*0.9</f>
        <v>0</v>
      </c>
      <c r="AT63" s="116">
        <f>G63*0.05</f>
        <v>0</v>
      </c>
      <c r="AU63" s="116">
        <f>G63*0.05</f>
        <v>0</v>
      </c>
    </row>
    <row r="64" spans="1:48" ht="12.75">
      <c r="A64" s="148">
        <v>39</v>
      </c>
      <c r="B64" s="132">
        <f t="shared" si="6"/>
        <v>0</v>
      </c>
      <c r="C64" s="132">
        <f t="shared" si="11"/>
        <v>0</v>
      </c>
      <c r="D64" s="132">
        <f t="shared" si="12"/>
        <v>0</v>
      </c>
      <c r="E64" s="132">
        <f>E63-D64</f>
        <v>0</v>
      </c>
      <c r="G64" s="116">
        <f t="shared" si="10"/>
        <v>0</v>
      </c>
      <c r="AT64" s="116">
        <f>G64*0.9</f>
        <v>0</v>
      </c>
      <c r="AU64" s="116">
        <f>G64*0.05</f>
        <v>0</v>
      </c>
      <c r="AV64" s="116">
        <f>G64*0.05</f>
        <v>0</v>
      </c>
    </row>
    <row r="65" spans="2:48" ht="13.5" thickBot="1">
      <c r="B65" s="135">
        <f>SUM(B26:B64)</f>
        <v>292837</v>
      </c>
      <c r="C65" s="135">
        <f>SUM(C26:C64)</f>
        <v>67837</v>
      </c>
      <c r="D65" s="135">
        <f>SUM(D26:D64)</f>
        <v>225000</v>
      </c>
      <c r="E65" s="132"/>
      <c r="G65" s="135">
        <f>SUM(G26:G64)</f>
        <v>225000</v>
      </c>
      <c r="H65" s="135">
        <f aca="true" t="shared" si="13" ref="H65:AV65">SUM(H26:H64)</f>
        <v>4283.1</v>
      </c>
      <c r="I65" s="135">
        <f t="shared" si="13"/>
        <v>4584.95</v>
      </c>
      <c r="J65" s="135">
        <f t="shared" si="13"/>
        <v>4892.15</v>
      </c>
      <c r="K65" s="135">
        <f t="shared" si="13"/>
        <v>4965.05</v>
      </c>
      <c r="L65" s="135">
        <f t="shared" si="13"/>
        <v>5039.85</v>
      </c>
      <c r="M65" s="135">
        <f t="shared" si="13"/>
        <v>5115.650000000001</v>
      </c>
      <c r="N65" s="135">
        <f t="shared" si="13"/>
        <v>5192.5</v>
      </c>
      <c r="O65" s="135">
        <f t="shared" si="13"/>
        <v>5270.35</v>
      </c>
      <c r="P65" s="135">
        <f t="shared" si="13"/>
        <v>5349.200000000001</v>
      </c>
      <c r="Q65" s="135">
        <f t="shared" si="13"/>
        <v>5429.050000000001</v>
      </c>
      <c r="R65" s="135">
        <f t="shared" si="13"/>
        <v>5510.8</v>
      </c>
      <c r="S65" s="135">
        <f t="shared" si="13"/>
        <v>5593.6</v>
      </c>
      <c r="T65" s="135">
        <f t="shared" si="13"/>
        <v>5677.45</v>
      </c>
      <c r="U65" s="135">
        <f t="shared" si="13"/>
        <v>5762.3</v>
      </c>
      <c r="V65" s="135">
        <f t="shared" si="13"/>
        <v>5849.05</v>
      </c>
      <c r="W65" s="135">
        <f t="shared" si="13"/>
        <v>5936.85</v>
      </c>
      <c r="X65" s="135">
        <f t="shared" si="13"/>
        <v>6025.700000000001</v>
      </c>
      <c r="Y65" s="135">
        <f t="shared" si="13"/>
        <v>6116.45</v>
      </c>
      <c r="Z65" s="135">
        <f t="shared" si="13"/>
        <v>6208.25</v>
      </c>
      <c r="AA65" s="135">
        <f t="shared" si="13"/>
        <v>6301.1</v>
      </c>
      <c r="AB65" s="135">
        <f t="shared" si="13"/>
        <v>6395.85</v>
      </c>
      <c r="AC65" s="135">
        <f t="shared" si="13"/>
        <v>6491.650000000001</v>
      </c>
      <c r="AD65" s="135">
        <f t="shared" si="13"/>
        <v>6588.5</v>
      </c>
      <c r="AE65" s="135">
        <f t="shared" si="13"/>
        <v>6687.25</v>
      </c>
      <c r="AF65" s="135">
        <f t="shared" si="13"/>
        <v>6787.95</v>
      </c>
      <c r="AG65" s="135">
        <f t="shared" si="13"/>
        <v>6889.75</v>
      </c>
      <c r="AH65" s="135">
        <f t="shared" si="13"/>
        <v>6993.5</v>
      </c>
      <c r="AI65" s="135">
        <f t="shared" si="13"/>
        <v>7098.3</v>
      </c>
      <c r="AJ65" s="135">
        <f t="shared" si="13"/>
        <v>7204.15</v>
      </c>
      <c r="AK65" s="135">
        <f t="shared" si="13"/>
        <v>7312.8</v>
      </c>
      <c r="AL65" s="135">
        <f t="shared" si="13"/>
        <v>7422.55</v>
      </c>
      <c r="AM65" s="135">
        <f t="shared" si="13"/>
        <v>7533.4</v>
      </c>
      <c r="AN65" s="135">
        <f t="shared" si="13"/>
        <v>7647.05</v>
      </c>
      <c r="AO65" s="135">
        <f t="shared" si="13"/>
        <v>7760.9</v>
      </c>
      <c r="AP65" s="135">
        <f t="shared" si="13"/>
        <v>7877.6</v>
      </c>
      <c r="AQ65" s="135">
        <f t="shared" si="13"/>
        <v>8007.950000000001</v>
      </c>
      <c r="AR65" s="135">
        <f t="shared" si="13"/>
        <v>796.1</v>
      </c>
      <c r="AS65" s="135">
        <f t="shared" si="13"/>
        <v>401.35</v>
      </c>
      <c r="AT65" s="135">
        <f t="shared" si="13"/>
        <v>0</v>
      </c>
      <c r="AU65" s="135">
        <f t="shared" si="13"/>
        <v>0</v>
      </c>
      <c r="AV65" s="135">
        <f t="shared" si="13"/>
        <v>0</v>
      </c>
    </row>
    <row r="66" ht="13.5" thickTop="1"/>
    <row r="67" spans="1:4" ht="13.5" thickBot="1">
      <c r="A67" s="116" t="s">
        <v>119</v>
      </c>
      <c r="B67" s="150">
        <f>SUM(B25:B49)</f>
        <v>195216</v>
      </c>
      <c r="C67" s="150">
        <f>SUM(C25:C49)</f>
        <v>58949</v>
      </c>
      <c r="D67" s="150">
        <f>SUM(D25:D49)</f>
        <v>136267</v>
      </c>
    </row>
    <row r="68" spans="7:48" ht="13.5" thickTop="1">
      <c r="G68" s="116" t="s">
        <v>247</v>
      </c>
      <c r="H68" s="148">
        <v>1</v>
      </c>
      <c r="I68" s="148">
        <v>2</v>
      </c>
      <c r="J68" s="148">
        <v>3</v>
      </c>
      <c r="K68" s="148">
        <v>4</v>
      </c>
      <c r="L68" s="148">
        <v>5</v>
      </c>
      <c r="M68" s="148">
        <v>6</v>
      </c>
      <c r="N68" s="148">
        <v>7</v>
      </c>
      <c r="O68" s="148">
        <v>8</v>
      </c>
      <c r="P68" s="148">
        <v>9</v>
      </c>
      <c r="Q68" s="148">
        <v>10</v>
      </c>
      <c r="R68" s="148">
        <v>11</v>
      </c>
      <c r="S68" s="148">
        <v>12</v>
      </c>
      <c r="T68" s="148">
        <v>13</v>
      </c>
      <c r="U68" s="148">
        <v>14</v>
      </c>
      <c r="V68" s="148">
        <v>15</v>
      </c>
      <c r="W68" s="148">
        <v>16</v>
      </c>
      <c r="X68" s="148">
        <v>17</v>
      </c>
      <c r="Y68" s="148">
        <v>18</v>
      </c>
      <c r="Z68" s="148">
        <v>19</v>
      </c>
      <c r="AA68" s="148">
        <v>20</v>
      </c>
      <c r="AB68" s="148">
        <v>21</v>
      </c>
      <c r="AC68" s="148">
        <v>22</v>
      </c>
      <c r="AD68" s="148">
        <v>23</v>
      </c>
      <c r="AE68" s="148">
        <v>24</v>
      </c>
      <c r="AF68" s="148">
        <v>25</v>
      </c>
      <c r="AG68" s="148">
        <v>26</v>
      </c>
      <c r="AH68" s="148">
        <v>27</v>
      </c>
      <c r="AI68" s="148">
        <v>28</v>
      </c>
      <c r="AJ68" s="148">
        <v>29</v>
      </c>
      <c r="AK68" s="148">
        <v>30</v>
      </c>
      <c r="AL68" s="149">
        <v>31</v>
      </c>
      <c r="AM68" s="149">
        <v>32</v>
      </c>
      <c r="AN68" s="149">
        <v>33</v>
      </c>
      <c r="AO68" s="149">
        <v>34</v>
      </c>
      <c r="AP68" s="149">
        <v>35</v>
      </c>
      <c r="AQ68" s="149">
        <v>36</v>
      </c>
      <c r="AR68" s="149">
        <v>37</v>
      </c>
      <c r="AS68" s="149">
        <v>38</v>
      </c>
      <c r="AT68" s="149">
        <v>39</v>
      </c>
      <c r="AU68" s="149">
        <v>40</v>
      </c>
      <c r="AV68" s="149">
        <v>41</v>
      </c>
    </row>
    <row r="69" spans="1:4" ht="13.5" thickBot="1">
      <c r="A69" s="116" t="s">
        <v>206</v>
      </c>
      <c r="B69" s="150">
        <f>SUM(B25:B61)</f>
        <v>292837</v>
      </c>
      <c r="C69" s="150">
        <f>SUM(C25:C61)</f>
        <v>67837</v>
      </c>
      <c r="D69" s="150">
        <f>SUM(D25:D61)</f>
        <v>225000</v>
      </c>
    </row>
    <row r="70" spans="7:10" ht="13.5" thickTop="1">
      <c r="G70" s="116">
        <f>C26</f>
        <v>3375</v>
      </c>
      <c r="H70" s="116">
        <f>G70*0.9</f>
        <v>3037.5</v>
      </c>
      <c r="I70" s="116">
        <f>G70*0.05</f>
        <v>168.75</v>
      </c>
      <c r="J70" s="116">
        <f>G70*0.05</f>
        <v>168.75</v>
      </c>
    </row>
    <row r="71" spans="7:11" ht="12.75">
      <c r="G71" s="116">
        <f aca="true" t="shared" si="14" ref="G71:G108">C27</f>
        <v>3304</v>
      </c>
      <c r="I71" s="116">
        <f>G71*0.9</f>
        <v>2973.6</v>
      </c>
      <c r="J71" s="116">
        <f>G71*0.05</f>
        <v>165.20000000000002</v>
      </c>
      <c r="K71" s="116">
        <f>G71*0.05</f>
        <v>165.20000000000002</v>
      </c>
    </row>
    <row r="72" spans="7:12" ht="12.75">
      <c r="G72" s="116">
        <f t="shared" si="14"/>
        <v>3231</v>
      </c>
      <c r="J72" s="116">
        <f>G72*0.9</f>
        <v>2907.9</v>
      </c>
      <c r="K72" s="116">
        <f>G72*0.05</f>
        <v>161.55</v>
      </c>
      <c r="L72" s="116">
        <f>G72*0.05</f>
        <v>161.55</v>
      </c>
    </row>
    <row r="73" spans="7:13" ht="12.75">
      <c r="G73" s="116">
        <f t="shared" si="14"/>
        <v>3158</v>
      </c>
      <c r="K73" s="116">
        <f>G73*0.9</f>
        <v>2842.2000000000003</v>
      </c>
      <c r="L73" s="116">
        <f>G73*0.05</f>
        <v>157.9</v>
      </c>
      <c r="M73" s="116">
        <f>G73*0.05</f>
        <v>157.9</v>
      </c>
    </row>
    <row r="74" spans="7:14" ht="12.75">
      <c r="G74" s="116">
        <f t="shared" si="14"/>
        <v>3083</v>
      </c>
      <c r="L74" s="116">
        <f>G74*0.9</f>
        <v>2774.7000000000003</v>
      </c>
      <c r="M74" s="116">
        <f>G74*0.05</f>
        <v>154.15</v>
      </c>
      <c r="N74" s="116">
        <f>G74*0.05</f>
        <v>154.15</v>
      </c>
    </row>
    <row r="75" spans="7:15" ht="12.75">
      <c r="G75" s="116">
        <f t="shared" si="14"/>
        <v>3007</v>
      </c>
      <c r="M75" s="116">
        <f>G75*0.9</f>
        <v>2706.3</v>
      </c>
      <c r="N75" s="116">
        <f>G75*0.05</f>
        <v>150.35</v>
      </c>
      <c r="O75" s="116">
        <f>G75*0.05</f>
        <v>150.35</v>
      </c>
    </row>
    <row r="76" spans="7:16" ht="12.75">
      <c r="G76" s="116">
        <f t="shared" si="14"/>
        <v>2930</v>
      </c>
      <c r="N76" s="116">
        <f>G76*0.9</f>
        <v>2637</v>
      </c>
      <c r="O76" s="116">
        <f>G76*0.05</f>
        <v>146.5</v>
      </c>
      <c r="P76" s="116">
        <f>G76*0.05</f>
        <v>146.5</v>
      </c>
    </row>
    <row r="77" spans="7:17" ht="12.75">
      <c r="G77" s="116">
        <f t="shared" si="14"/>
        <v>2852</v>
      </c>
      <c r="O77" s="116">
        <f>G77*0.9</f>
        <v>2566.8</v>
      </c>
      <c r="P77" s="116">
        <f>G77*0.05</f>
        <v>142.6</v>
      </c>
      <c r="Q77" s="116">
        <f>G77*0.05</f>
        <v>142.6</v>
      </c>
    </row>
    <row r="78" spans="7:18" ht="12.75">
      <c r="G78" s="116">
        <f t="shared" si="14"/>
        <v>2773</v>
      </c>
      <c r="P78" s="116">
        <f>G78*0.9</f>
        <v>2495.7000000000003</v>
      </c>
      <c r="Q78" s="116">
        <f>G78*0.05</f>
        <v>138.65</v>
      </c>
      <c r="R78" s="116">
        <f>G78*0.05</f>
        <v>138.65</v>
      </c>
    </row>
    <row r="79" spans="7:19" ht="12.75">
      <c r="G79" s="116">
        <f t="shared" si="14"/>
        <v>2693</v>
      </c>
      <c r="Q79" s="116">
        <f>G79*0.9</f>
        <v>2423.7000000000003</v>
      </c>
      <c r="R79" s="116">
        <f>G79*0.05</f>
        <v>134.65</v>
      </c>
      <c r="S79" s="116">
        <f>G79*0.05</f>
        <v>134.65</v>
      </c>
    </row>
    <row r="80" spans="7:20" ht="12.75">
      <c r="G80" s="116">
        <f t="shared" si="14"/>
        <v>2611</v>
      </c>
      <c r="R80" s="116">
        <f>G80*0.9</f>
        <v>2349.9</v>
      </c>
      <c r="S80" s="116">
        <f>G80*0.05</f>
        <v>130.55</v>
      </c>
      <c r="T80" s="116">
        <f>G80*0.05</f>
        <v>130.55</v>
      </c>
    </row>
    <row r="81" spans="7:21" ht="12.75">
      <c r="G81" s="116">
        <f t="shared" si="14"/>
        <v>2528</v>
      </c>
      <c r="S81" s="116">
        <f>G81*0.9</f>
        <v>2275.2000000000003</v>
      </c>
      <c r="T81" s="116">
        <f>G81*0.05</f>
        <v>126.4</v>
      </c>
      <c r="U81" s="116">
        <f>G81*0.05</f>
        <v>126.4</v>
      </c>
    </row>
    <row r="82" spans="7:22" ht="12.75">
      <c r="G82" s="116">
        <f t="shared" si="14"/>
        <v>2444</v>
      </c>
      <c r="T82" s="116">
        <f>G82*0.9</f>
        <v>2199.6</v>
      </c>
      <c r="U82" s="116">
        <f>G82*0.05</f>
        <v>122.2</v>
      </c>
      <c r="V82" s="116">
        <f>G82*0.05</f>
        <v>122.2</v>
      </c>
    </row>
    <row r="83" spans="7:23" ht="12.75">
      <c r="G83" s="116">
        <f t="shared" si="14"/>
        <v>2359</v>
      </c>
      <c r="U83" s="116">
        <f>G83*0.9</f>
        <v>2123.1</v>
      </c>
      <c r="V83" s="116">
        <f>G83*0.05</f>
        <v>117.95</v>
      </c>
      <c r="W83" s="116">
        <f>G83*0.05</f>
        <v>117.95</v>
      </c>
    </row>
    <row r="84" spans="7:24" ht="12.75">
      <c r="G84" s="116">
        <f t="shared" si="14"/>
        <v>2272</v>
      </c>
      <c r="V84" s="116">
        <f>G84*0.9</f>
        <v>2044.8</v>
      </c>
      <c r="W84" s="116">
        <f>G84*0.05</f>
        <v>113.60000000000001</v>
      </c>
      <c r="X84" s="116">
        <f>G84*0.05</f>
        <v>113.60000000000001</v>
      </c>
    </row>
    <row r="85" spans="7:25" ht="12.75">
      <c r="G85" s="116">
        <f t="shared" si="14"/>
        <v>2184</v>
      </c>
      <c r="W85" s="116">
        <f>G85*0.9</f>
        <v>1965.6000000000001</v>
      </c>
      <c r="X85" s="116">
        <f>G85*0.05</f>
        <v>109.2</v>
      </c>
      <c r="Y85" s="116">
        <f>G85*0.05</f>
        <v>109.2</v>
      </c>
    </row>
    <row r="86" spans="7:26" ht="12.75">
      <c r="G86" s="116">
        <f t="shared" si="14"/>
        <v>2095</v>
      </c>
      <c r="X86" s="116">
        <f>G86*0.9</f>
        <v>1885.5</v>
      </c>
      <c r="Y86" s="116">
        <f>G86*0.05</f>
        <v>104.75</v>
      </c>
      <c r="Z86" s="116">
        <f>G86*0.05</f>
        <v>104.75</v>
      </c>
    </row>
    <row r="87" spans="7:27" ht="12.75">
      <c r="G87" s="116">
        <f t="shared" si="14"/>
        <v>2004</v>
      </c>
      <c r="Y87" s="116">
        <f>G87*0.9</f>
        <v>1803.6000000000001</v>
      </c>
      <c r="Z87" s="116">
        <f>G87*0.05</f>
        <v>100.2</v>
      </c>
      <c r="AA87" s="116">
        <f>G87*0.05</f>
        <v>100.2</v>
      </c>
    </row>
    <row r="88" spans="7:28" ht="12.75">
      <c r="G88" s="116">
        <f t="shared" si="14"/>
        <v>1912</v>
      </c>
      <c r="Z88" s="116">
        <f>G88*0.9</f>
        <v>1720.8</v>
      </c>
      <c r="AA88" s="116">
        <f>G88*0.05</f>
        <v>95.60000000000001</v>
      </c>
      <c r="AB88" s="116">
        <f>G88*0.05</f>
        <v>95.60000000000001</v>
      </c>
    </row>
    <row r="89" spans="7:29" ht="12.75">
      <c r="G89" s="116">
        <f t="shared" si="14"/>
        <v>1819</v>
      </c>
      <c r="AA89" s="116">
        <f>G89*0.9</f>
        <v>1637.1000000000001</v>
      </c>
      <c r="AB89" s="116">
        <f>G89*0.05</f>
        <v>90.95</v>
      </c>
      <c r="AC89" s="116">
        <f>G89*0.05</f>
        <v>90.95</v>
      </c>
    </row>
    <row r="90" spans="7:30" ht="12.75">
      <c r="G90" s="116">
        <f t="shared" si="14"/>
        <v>1724</v>
      </c>
      <c r="AB90" s="116">
        <f>G90*0.9</f>
        <v>1551.6000000000001</v>
      </c>
      <c r="AC90" s="116">
        <f>G90*0.05</f>
        <v>86.2</v>
      </c>
      <c r="AD90" s="116">
        <f>G90*0.05</f>
        <v>86.2</v>
      </c>
    </row>
    <row r="91" spans="7:31" ht="12.75">
      <c r="G91" s="116">
        <f t="shared" si="14"/>
        <v>1628</v>
      </c>
      <c r="AC91" s="116">
        <f>G91*0.9</f>
        <v>1465.2</v>
      </c>
      <c r="AD91" s="116">
        <f>G91*0.05</f>
        <v>81.4</v>
      </c>
      <c r="AE91" s="116">
        <f>G91*0.05</f>
        <v>81.4</v>
      </c>
    </row>
    <row r="92" spans="7:32" ht="12.75">
      <c r="G92" s="116">
        <f t="shared" si="14"/>
        <v>1531</v>
      </c>
      <c r="AD92" s="116">
        <f>G92*0.9</f>
        <v>1377.9</v>
      </c>
      <c r="AE92" s="116">
        <f>G92*0.05</f>
        <v>76.55</v>
      </c>
      <c r="AF92" s="116">
        <f>G92*0.05</f>
        <v>76.55</v>
      </c>
    </row>
    <row r="93" spans="7:33" ht="12.75">
      <c r="G93" s="116">
        <f t="shared" si="14"/>
        <v>1432</v>
      </c>
      <c r="AE93" s="116">
        <f>G93*0.9</f>
        <v>1288.8</v>
      </c>
      <c r="AF93" s="116">
        <f>G93*0.05</f>
        <v>71.60000000000001</v>
      </c>
      <c r="AG93" s="116">
        <f>G93*0.05</f>
        <v>71.60000000000001</v>
      </c>
    </row>
    <row r="94" spans="7:34" ht="12.75">
      <c r="G94" s="116">
        <f t="shared" si="14"/>
        <v>1331</v>
      </c>
      <c r="AF94" s="116">
        <f>G94*0.9</f>
        <v>1197.9</v>
      </c>
      <c r="AG94" s="116">
        <f>G94*0.05</f>
        <v>66.55</v>
      </c>
      <c r="AH94" s="116">
        <f>G94*0.05</f>
        <v>66.55</v>
      </c>
    </row>
    <row r="95" spans="7:35" ht="12.75">
      <c r="G95" s="116">
        <f t="shared" si="14"/>
        <v>1229</v>
      </c>
      <c r="AG95" s="116">
        <f>G95*0.9</f>
        <v>1106.1000000000001</v>
      </c>
      <c r="AH95" s="116">
        <f>G95*0.05</f>
        <v>61.45</v>
      </c>
      <c r="AI95" s="116">
        <f>G95*0.05</f>
        <v>61.45</v>
      </c>
    </row>
    <row r="96" spans="7:36" ht="12.75">
      <c r="G96" s="116">
        <f t="shared" si="14"/>
        <v>1125</v>
      </c>
      <c r="AH96" s="116">
        <f>G96*0.9</f>
        <v>1012.5</v>
      </c>
      <c r="AI96" s="116">
        <f>G96*0.05</f>
        <v>56.25</v>
      </c>
      <c r="AJ96" s="116">
        <f>G96*0.05</f>
        <v>56.25</v>
      </c>
    </row>
    <row r="97" spans="7:37" ht="12.75">
      <c r="G97" s="116">
        <f t="shared" si="14"/>
        <v>1020</v>
      </c>
      <c r="AI97" s="116">
        <f>G97*0.9</f>
        <v>918</v>
      </c>
      <c r="AJ97" s="116">
        <f>G97*0.05</f>
        <v>51</v>
      </c>
      <c r="AK97" s="116">
        <f>G97*0.05</f>
        <v>51</v>
      </c>
    </row>
    <row r="98" spans="7:38" ht="12.75">
      <c r="G98" s="116">
        <f t="shared" si="14"/>
        <v>914</v>
      </c>
      <c r="AJ98" s="116">
        <f>G98*0.9</f>
        <v>822.6</v>
      </c>
      <c r="AK98" s="116">
        <f>G98*0.05</f>
        <v>45.7</v>
      </c>
      <c r="AL98" s="116">
        <f>G98*0.05</f>
        <v>45.7</v>
      </c>
    </row>
    <row r="99" spans="7:39" ht="12.75">
      <c r="G99" s="116">
        <f t="shared" si="14"/>
        <v>805</v>
      </c>
      <c r="AK99" s="116">
        <f>G99*0.9</f>
        <v>724.5</v>
      </c>
      <c r="AL99" s="116">
        <f>G99*0.05</f>
        <v>40.25</v>
      </c>
      <c r="AM99" s="116">
        <f>G99*0.05</f>
        <v>40.25</v>
      </c>
    </row>
    <row r="100" spans="7:40" ht="12.75">
      <c r="G100" s="116">
        <f t="shared" si="14"/>
        <v>695</v>
      </c>
      <c r="AL100" s="116">
        <f>G100*0.9</f>
        <v>625.5</v>
      </c>
      <c r="AM100" s="116">
        <f>G100*0.05</f>
        <v>34.75</v>
      </c>
      <c r="AN100" s="116">
        <f>G100*0.05</f>
        <v>34.75</v>
      </c>
    </row>
    <row r="101" spans="7:41" ht="12.75">
      <c r="G101" s="116">
        <f t="shared" si="14"/>
        <v>584</v>
      </c>
      <c r="AM101" s="116">
        <f>G101*0.9</f>
        <v>525.6</v>
      </c>
      <c r="AN101" s="116">
        <f>G101*0.05</f>
        <v>29.200000000000003</v>
      </c>
      <c r="AO101" s="116">
        <f>G101*0.05</f>
        <v>29.200000000000003</v>
      </c>
    </row>
    <row r="102" spans="7:42" ht="12.75">
      <c r="G102" s="116">
        <f t="shared" si="14"/>
        <v>470</v>
      </c>
      <c r="AN102" s="116">
        <f>G102*0.9</f>
        <v>423</v>
      </c>
      <c r="AO102" s="116">
        <f>G102*0.05</f>
        <v>23.5</v>
      </c>
      <c r="AP102" s="116">
        <f>G102*0.05</f>
        <v>23.5</v>
      </c>
    </row>
    <row r="103" spans="7:43" ht="12.75">
      <c r="G103" s="116">
        <f t="shared" si="14"/>
        <v>356</v>
      </c>
      <c r="AO103" s="116">
        <f>G103*0.9</f>
        <v>320.40000000000003</v>
      </c>
      <c r="AP103" s="116">
        <f>G103*0.05</f>
        <v>17.8</v>
      </c>
      <c r="AQ103" s="116">
        <f>G103*0.05</f>
        <v>17.8</v>
      </c>
    </row>
    <row r="104" spans="7:44" ht="12.75">
      <c r="G104" s="116">
        <f t="shared" si="14"/>
        <v>239</v>
      </c>
      <c r="AP104" s="116">
        <f>G104*0.9</f>
        <v>215.1</v>
      </c>
      <c r="AQ104" s="116">
        <f>G104*0.05</f>
        <v>11.950000000000001</v>
      </c>
      <c r="AR104" s="116">
        <f>G104*0.05</f>
        <v>11.950000000000001</v>
      </c>
    </row>
    <row r="105" spans="7:45" ht="12.75">
      <c r="G105" s="116">
        <f t="shared" si="14"/>
        <v>120</v>
      </c>
      <c r="AQ105" s="116">
        <f>G105*0.9</f>
        <v>108</v>
      </c>
      <c r="AR105" s="116">
        <f>G105*0.05</f>
        <v>6</v>
      </c>
      <c r="AS105" s="116">
        <f>G105*0.05</f>
        <v>6</v>
      </c>
    </row>
    <row r="106" spans="7:46" ht="12.75">
      <c r="G106" s="116">
        <f t="shared" si="14"/>
        <v>0</v>
      </c>
      <c r="AR106" s="116">
        <f>G106*0.9</f>
        <v>0</v>
      </c>
      <c r="AS106" s="116">
        <f>G106*0.05</f>
        <v>0</v>
      </c>
      <c r="AT106" s="116">
        <f>G106*0.05</f>
        <v>0</v>
      </c>
    </row>
    <row r="107" spans="7:47" ht="12.75">
      <c r="G107" s="116">
        <f t="shared" si="14"/>
        <v>0</v>
      </c>
      <c r="AS107" s="116">
        <f>G107*0.9</f>
        <v>0</v>
      </c>
      <c r="AT107" s="116">
        <f>G107*0.05</f>
        <v>0</v>
      </c>
      <c r="AU107" s="116">
        <f>G107*0.05</f>
        <v>0</v>
      </c>
    </row>
    <row r="108" spans="7:48" ht="12.75">
      <c r="G108" s="116">
        <f t="shared" si="14"/>
        <v>0</v>
      </c>
      <c r="AT108" s="116">
        <f>G108*0.9</f>
        <v>0</v>
      </c>
      <c r="AU108" s="116">
        <f>G108*0.05</f>
        <v>0</v>
      </c>
      <c r="AV108" s="116">
        <f>G108*0.05</f>
        <v>0</v>
      </c>
    </row>
    <row r="109" spans="7:48" ht="13.5" thickBot="1">
      <c r="G109" s="135">
        <f aca="true" t="shared" si="15" ref="G109:AV109">SUM(G70:G108)</f>
        <v>67837</v>
      </c>
      <c r="H109" s="135">
        <f t="shared" si="15"/>
        <v>3037.5</v>
      </c>
      <c r="I109" s="135">
        <f t="shared" si="15"/>
        <v>3142.35</v>
      </c>
      <c r="J109" s="135">
        <f t="shared" si="15"/>
        <v>3241.8500000000004</v>
      </c>
      <c r="K109" s="135">
        <f t="shared" si="15"/>
        <v>3168.9500000000003</v>
      </c>
      <c r="L109" s="135">
        <f t="shared" si="15"/>
        <v>3094.1500000000005</v>
      </c>
      <c r="M109" s="135">
        <f t="shared" si="15"/>
        <v>3018.3500000000004</v>
      </c>
      <c r="N109" s="135">
        <f t="shared" si="15"/>
        <v>2941.5</v>
      </c>
      <c r="O109" s="135">
        <f t="shared" si="15"/>
        <v>2863.65</v>
      </c>
      <c r="P109" s="135">
        <f t="shared" si="15"/>
        <v>2784.8</v>
      </c>
      <c r="Q109" s="135">
        <f t="shared" si="15"/>
        <v>2704.9500000000003</v>
      </c>
      <c r="R109" s="135">
        <f t="shared" si="15"/>
        <v>2623.2000000000003</v>
      </c>
      <c r="S109" s="135">
        <f t="shared" si="15"/>
        <v>2540.4000000000005</v>
      </c>
      <c r="T109" s="135">
        <f t="shared" si="15"/>
        <v>2456.55</v>
      </c>
      <c r="U109" s="135">
        <f t="shared" si="15"/>
        <v>2371.7</v>
      </c>
      <c r="V109" s="135">
        <f t="shared" si="15"/>
        <v>2284.95</v>
      </c>
      <c r="W109" s="135">
        <f t="shared" si="15"/>
        <v>2197.15</v>
      </c>
      <c r="X109" s="135">
        <f t="shared" si="15"/>
        <v>2108.3</v>
      </c>
      <c r="Y109" s="135">
        <f t="shared" si="15"/>
        <v>2017.5500000000002</v>
      </c>
      <c r="Z109" s="135">
        <f t="shared" si="15"/>
        <v>1925.75</v>
      </c>
      <c r="AA109" s="135">
        <f t="shared" si="15"/>
        <v>1832.9</v>
      </c>
      <c r="AB109" s="135">
        <f t="shared" si="15"/>
        <v>1738.15</v>
      </c>
      <c r="AC109" s="135">
        <f t="shared" si="15"/>
        <v>1642.3500000000001</v>
      </c>
      <c r="AD109" s="135">
        <f t="shared" si="15"/>
        <v>1545.5</v>
      </c>
      <c r="AE109" s="135">
        <f t="shared" si="15"/>
        <v>1446.75</v>
      </c>
      <c r="AF109" s="135">
        <f t="shared" si="15"/>
        <v>1346.0500000000002</v>
      </c>
      <c r="AG109" s="135">
        <f t="shared" si="15"/>
        <v>1244.2500000000002</v>
      </c>
      <c r="AH109" s="135">
        <f t="shared" si="15"/>
        <v>1140.5</v>
      </c>
      <c r="AI109" s="135">
        <f t="shared" si="15"/>
        <v>1035.7</v>
      </c>
      <c r="AJ109" s="135">
        <f t="shared" si="15"/>
        <v>929.85</v>
      </c>
      <c r="AK109" s="135">
        <f t="shared" si="15"/>
        <v>821.2</v>
      </c>
      <c r="AL109" s="135">
        <f t="shared" si="15"/>
        <v>711.45</v>
      </c>
      <c r="AM109" s="135">
        <f t="shared" si="15"/>
        <v>600.6</v>
      </c>
      <c r="AN109" s="135">
        <f t="shared" si="15"/>
        <v>486.95</v>
      </c>
      <c r="AO109" s="135">
        <f t="shared" si="15"/>
        <v>373.1</v>
      </c>
      <c r="AP109" s="135">
        <f t="shared" si="15"/>
        <v>256.4</v>
      </c>
      <c r="AQ109" s="135">
        <f t="shared" si="15"/>
        <v>137.75</v>
      </c>
      <c r="AR109" s="135">
        <f t="shared" si="15"/>
        <v>17.950000000000003</v>
      </c>
      <c r="AS109" s="135">
        <f t="shared" si="15"/>
        <v>6</v>
      </c>
      <c r="AT109" s="135">
        <f t="shared" si="15"/>
        <v>0</v>
      </c>
      <c r="AU109" s="135">
        <f t="shared" si="15"/>
        <v>0</v>
      </c>
      <c r="AV109" s="135">
        <f t="shared" si="15"/>
        <v>0</v>
      </c>
    </row>
    <row r="110" ht="13.5" thickTop="1"/>
  </sheetData>
  <sheetProtection password="C7CE" sheet="1" objects="1" scenarios="1" selectLockedCells="1" selectUnlockedCells="1"/>
  <printOptions/>
  <pageMargins left="0.75" right="0.75" top="1.25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97"/>
  <sheetViews>
    <sheetView zoomScalePageLayoutView="0" workbookViewId="0" topLeftCell="A52">
      <selection activeCell="A52" sqref="A1:IV16384"/>
    </sheetView>
  </sheetViews>
  <sheetFormatPr defaultColWidth="9.140625" defaultRowHeight="12.75"/>
  <cols>
    <col min="1" max="1" width="22.8515625" style="116" customWidth="1"/>
    <col min="2" max="2" width="10.421875" style="116" customWidth="1"/>
    <col min="3" max="4" width="10.28125" style="116" customWidth="1"/>
    <col min="5" max="6" width="11.00390625" style="116" bestFit="1" customWidth="1"/>
    <col min="7" max="7" width="11.140625" style="116" customWidth="1"/>
    <col min="8" max="8" width="10.7109375" style="116" customWidth="1"/>
    <col min="9" max="10" width="11.00390625" style="116" customWidth="1"/>
    <col min="11" max="11" width="11.140625" style="116" customWidth="1"/>
    <col min="12" max="12" width="13.00390625" style="116" customWidth="1"/>
    <col min="13" max="13" width="11.57421875" style="116" customWidth="1"/>
    <col min="14" max="14" width="11.7109375" style="116" customWidth="1"/>
    <col min="15" max="15" width="11.28125" style="116" customWidth="1"/>
    <col min="16" max="16" width="11.7109375" style="116" customWidth="1"/>
    <col min="17" max="17" width="11.140625" style="116" customWidth="1"/>
    <col min="18" max="18" width="11.28125" style="116" customWidth="1"/>
    <col min="19" max="19" width="11.140625" style="116" customWidth="1"/>
    <col min="20" max="21" width="10.8515625" style="116" customWidth="1"/>
    <col min="22" max="22" width="10.421875" style="116" customWidth="1"/>
    <col min="23" max="37" width="11.421875" style="116" customWidth="1"/>
    <col min="38" max="38" width="11.7109375" style="116" customWidth="1"/>
    <col min="39" max="39" width="10.7109375" style="116" customWidth="1"/>
    <col min="40" max="40" width="12.421875" style="116" bestFit="1" customWidth="1"/>
    <col min="41" max="41" width="10.140625" style="116" customWidth="1"/>
    <col min="42" max="42" width="9.28125" style="116" bestFit="1" customWidth="1"/>
    <col min="43" max="51" width="9.140625" style="116" customWidth="1"/>
    <col min="52" max="52" width="10.57421875" style="116" bestFit="1" customWidth="1"/>
    <col min="53" max="53" width="11.421875" style="116" customWidth="1"/>
    <col min="54" max="16384" width="9.140625" style="116" customWidth="1"/>
  </cols>
  <sheetData>
    <row r="1" ht="12.75">
      <c r="A1" s="116" t="e">
        <f>'P&amp;I Pmts-new notes'!A1</f>
        <v>#REF!</v>
      </c>
    </row>
    <row r="2" ht="12.75">
      <c r="A2" s="116" t="s">
        <v>120</v>
      </c>
    </row>
    <row r="7" spans="1:51" ht="12.75">
      <c r="A7" s="116" t="s">
        <v>20</v>
      </c>
      <c r="B7" s="119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9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19">
        <v>24</v>
      </c>
      <c r="Z7" s="119">
        <v>25</v>
      </c>
      <c r="AA7" s="119">
        <v>26</v>
      </c>
      <c r="AB7" s="119">
        <v>27</v>
      </c>
      <c r="AC7" s="119">
        <v>28</v>
      </c>
      <c r="AD7" s="119">
        <v>29</v>
      </c>
      <c r="AE7" s="119">
        <v>30</v>
      </c>
      <c r="AF7" s="119">
        <v>31</v>
      </c>
      <c r="AG7" s="119">
        <v>32</v>
      </c>
      <c r="AH7" s="119">
        <v>33</v>
      </c>
      <c r="AI7" s="119">
        <v>34</v>
      </c>
      <c r="AJ7" s="119">
        <v>35</v>
      </c>
      <c r="AK7" s="119">
        <v>36</v>
      </c>
      <c r="AL7" s="116" t="s">
        <v>7</v>
      </c>
      <c r="AM7" s="116" t="s">
        <v>109</v>
      </c>
      <c r="AN7" s="116" t="s">
        <v>110</v>
      </c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</row>
    <row r="9" spans="1:40" ht="12.75">
      <c r="A9" s="116" t="s">
        <v>111</v>
      </c>
      <c r="B9" s="132">
        <f aca="true" t="shared" si="0" ref="B9:Y9">H57</f>
        <v>0</v>
      </c>
      <c r="C9" s="132">
        <f t="shared" si="0"/>
        <v>0</v>
      </c>
      <c r="D9" s="132">
        <f t="shared" si="0"/>
        <v>0</v>
      </c>
      <c r="E9" s="132">
        <f t="shared" si="0"/>
        <v>0</v>
      </c>
      <c r="F9" s="132">
        <f t="shared" si="0"/>
        <v>0</v>
      </c>
      <c r="G9" s="132">
        <f t="shared" si="0"/>
        <v>0</v>
      </c>
      <c r="H9" s="132">
        <f t="shared" si="0"/>
        <v>0</v>
      </c>
      <c r="I9" s="132">
        <f t="shared" si="0"/>
        <v>0</v>
      </c>
      <c r="J9" s="132">
        <f t="shared" si="0"/>
        <v>0</v>
      </c>
      <c r="K9" s="132">
        <f t="shared" si="0"/>
        <v>0</v>
      </c>
      <c r="L9" s="132">
        <f t="shared" si="0"/>
        <v>0</v>
      </c>
      <c r="M9" s="132">
        <f t="shared" si="0"/>
        <v>0</v>
      </c>
      <c r="N9" s="132">
        <f t="shared" si="0"/>
        <v>0</v>
      </c>
      <c r="O9" s="132">
        <f t="shared" si="0"/>
        <v>0</v>
      </c>
      <c r="P9" s="132">
        <f t="shared" si="0"/>
        <v>0</v>
      </c>
      <c r="Q9" s="132">
        <f t="shared" si="0"/>
        <v>0</v>
      </c>
      <c r="R9" s="132">
        <f t="shared" si="0"/>
        <v>0</v>
      </c>
      <c r="S9" s="132">
        <f t="shared" si="0"/>
        <v>0</v>
      </c>
      <c r="T9" s="132">
        <f t="shared" si="0"/>
        <v>0</v>
      </c>
      <c r="U9" s="132">
        <f t="shared" si="0"/>
        <v>0</v>
      </c>
      <c r="V9" s="132">
        <f t="shared" si="0"/>
        <v>0</v>
      </c>
      <c r="W9" s="132">
        <f t="shared" si="0"/>
        <v>0</v>
      </c>
      <c r="X9" s="132">
        <f t="shared" si="0"/>
        <v>0</v>
      </c>
      <c r="Y9" s="132">
        <f t="shared" si="0"/>
        <v>0</v>
      </c>
      <c r="Z9" s="132">
        <f aca="true" t="shared" si="1" ref="Z9:AK9">AF57</f>
        <v>0</v>
      </c>
      <c r="AA9" s="132">
        <f t="shared" si="1"/>
        <v>0</v>
      </c>
      <c r="AB9" s="132">
        <f t="shared" si="1"/>
        <v>0</v>
      </c>
      <c r="AC9" s="132">
        <f t="shared" si="1"/>
        <v>0</v>
      </c>
      <c r="AD9" s="132">
        <f t="shared" si="1"/>
        <v>0</v>
      </c>
      <c r="AE9" s="132">
        <f t="shared" si="1"/>
        <v>0</v>
      </c>
      <c r="AF9" s="132">
        <f t="shared" si="1"/>
        <v>0</v>
      </c>
      <c r="AG9" s="132">
        <f t="shared" si="1"/>
        <v>0</v>
      </c>
      <c r="AH9" s="132">
        <f t="shared" si="1"/>
        <v>0</v>
      </c>
      <c r="AI9" s="132">
        <f t="shared" si="1"/>
        <v>0</v>
      </c>
      <c r="AJ9" s="132">
        <f t="shared" si="1"/>
        <v>0</v>
      </c>
      <c r="AK9" s="132">
        <f t="shared" si="1"/>
        <v>0</v>
      </c>
      <c r="AL9" s="132">
        <f>SUM(B9:AK9)</f>
        <v>0</v>
      </c>
      <c r="AM9" s="132">
        <f>D57</f>
        <v>0</v>
      </c>
      <c r="AN9" s="132">
        <f>AL9-AM9</f>
        <v>0</v>
      </c>
    </row>
    <row r="10" spans="2:40" ht="12.75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</row>
    <row r="11" spans="1:40" ht="12.75">
      <c r="A11" s="116" t="s">
        <v>113</v>
      </c>
      <c r="B11" s="132">
        <f aca="true" t="shared" si="2" ref="B11:Y11">H97</f>
        <v>0</v>
      </c>
      <c r="C11" s="132">
        <f t="shared" si="2"/>
        <v>0</v>
      </c>
      <c r="D11" s="132">
        <f t="shared" si="2"/>
        <v>0</v>
      </c>
      <c r="E11" s="132">
        <f t="shared" si="2"/>
        <v>0</v>
      </c>
      <c r="F11" s="132">
        <f t="shared" si="2"/>
        <v>0</v>
      </c>
      <c r="G11" s="132">
        <f t="shared" si="2"/>
        <v>0</v>
      </c>
      <c r="H11" s="132">
        <f t="shared" si="2"/>
        <v>0</v>
      </c>
      <c r="I11" s="132">
        <f t="shared" si="2"/>
        <v>0</v>
      </c>
      <c r="J11" s="132">
        <f t="shared" si="2"/>
        <v>0</v>
      </c>
      <c r="K11" s="132">
        <f t="shared" si="2"/>
        <v>0</v>
      </c>
      <c r="L11" s="132">
        <f t="shared" si="2"/>
        <v>0</v>
      </c>
      <c r="M11" s="132">
        <f t="shared" si="2"/>
        <v>0</v>
      </c>
      <c r="N11" s="132">
        <f t="shared" si="2"/>
        <v>0</v>
      </c>
      <c r="O11" s="132">
        <f t="shared" si="2"/>
        <v>0</v>
      </c>
      <c r="P11" s="132">
        <f t="shared" si="2"/>
        <v>0</v>
      </c>
      <c r="Q11" s="132">
        <f t="shared" si="2"/>
        <v>0</v>
      </c>
      <c r="R11" s="132">
        <f t="shared" si="2"/>
        <v>0</v>
      </c>
      <c r="S11" s="132">
        <f t="shared" si="2"/>
        <v>0</v>
      </c>
      <c r="T11" s="132">
        <f t="shared" si="2"/>
        <v>0</v>
      </c>
      <c r="U11" s="132">
        <f t="shared" si="2"/>
        <v>0</v>
      </c>
      <c r="V11" s="132">
        <f t="shared" si="2"/>
        <v>0</v>
      </c>
      <c r="W11" s="132">
        <f t="shared" si="2"/>
        <v>0</v>
      </c>
      <c r="X11" s="132">
        <f t="shared" si="2"/>
        <v>0</v>
      </c>
      <c r="Y11" s="132">
        <f t="shared" si="2"/>
        <v>0</v>
      </c>
      <c r="Z11" s="132">
        <f aca="true" t="shared" si="3" ref="Z11:AK11">AF97</f>
        <v>0</v>
      </c>
      <c r="AA11" s="132">
        <f t="shared" si="3"/>
        <v>0</v>
      </c>
      <c r="AB11" s="132">
        <f t="shared" si="3"/>
        <v>0</v>
      </c>
      <c r="AC11" s="132">
        <f t="shared" si="3"/>
        <v>0</v>
      </c>
      <c r="AD11" s="132">
        <f t="shared" si="3"/>
        <v>0</v>
      </c>
      <c r="AE11" s="132">
        <f t="shared" si="3"/>
        <v>0</v>
      </c>
      <c r="AF11" s="132">
        <f t="shared" si="3"/>
        <v>0</v>
      </c>
      <c r="AG11" s="132">
        <f t="shared" si="3"/>
        <v>0</v>
      </c>
      <c r="AH11" s="132">
        <f t="shared" si="3"/>
        <v>0</v>
      </c>
      <c r="AI11" s="132">
        <f t="shared" si="3"/>
        <v>0</v>
      </c>
      <c r="AJ11" s="132">
        <f t="shared" si="3"/>
        <v>0</v>
      </c>
      <c r="AK11" s="132">
        <f t="shared" si="3"/>
        <v>0</v>
      </c>
      <c r="AL11" s="132">
        <f>SUM(B11:AK11)</f>
        <v>0</v>
      </c>
      <c r="AM11" s="132">
        <f>'P&amp;I Pmts-previous notes'!C57</f>
        <v>0</v>
      </c>
      <c r="AN11" s="132">
        <f>AL11-AM11</f>
        <v>0</v>
      </c>
    </row>
    <row r="12" spans="2:39" ht="12.75"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</row>
    <row r="14" ht="12.75">
      <c r="B14" s="151"/>
    </row>
    <row r="15" spans="1:3" ht="12.75">
      <c r="A15" s="116" t="s">
        <v>121</v>
      </c>
      <c r="B15" s="151">
        <f>IF(MID(Assumptions!F31,37,3)="",0,VALUE(MID(Assumptions!F31,37,3)))</f>
        <v>0</v>
      </c>
      <c r="C15" s="116" t="s">
        <v>122</v>
      </c>
    </row>
    <row r="16" spans="1:2" ht="13.5" thickBot="1">
      <c r="A16" s="116" t="s">
        <v>115</v>
      </c>
      <c r="B16" s="145">
        <f>Assumptions!C34</f>
        <v>0</v>
      </c>
    </row>
    <row r="17" spans="1:2" ht="14.25" thickBot="1" thickTop="1">
      <c r="A17" s="116" t="s">
        <v>116</v>
      </c>
      <c r="B17" s="146">
        <f>Assumptions!$C$28/12</f>
        <v>0.015</v>
      </c>
    </row>
    <row r="18" ht="13.5" thickTop="1"/>
    <row r="19" spans="1:45" ht="12.75">
      <c r="A19" s="116" t="s">
        <v>117</v>
      </c>
      <c r="B19" s="116" t="s">
        <v>117</v>
      </c>
      <c r="C19" s="116" t="s">
        <v>113</v>
      </c>
      <c r="D19" s="116" t="s">
        <v>111</v>
      </c>
      <c r="E19" s="116" t="s">
        <v>118</v>
      </c>
      <c r="G19" s="116" t="s">
        <v>248</v>
      </c>
      <c r="H19" s="148">
        <v>1</v>
      </c>
      <c r="I19" s="148">
        <f>H19+1</f>
        <v>2</v>
      </c>
      <c r="J19" s="148">
        <f>I19+1</f>
        <v>3</v>
      </c>
      <c r="K19" s="148">
        <f aca="true" t="shared" si="4" ref="K19:AE19">J19+1</f>
        <v>4</v>
      </c>
      <c r="L19" s="148">
        <f t="shared" si="4"/>
        <v>5</v>
      </c>
      <c r="M19" s="148">
        <f t="shared" si="4"/>
        <v>6</v>
      </c>
      <c r="N19" s="148">
        <f t="shared" si="4"/>
        <v>7</v>
      </c>
      <c r="O19" s="148">
        <f t="shared" si="4"/>
        <v>8</v>
      </c>
      <c r="P19" s="148">
        <f t="shared" si="4"/>
        <v>9</v>
      </c>
      <c r="Q19" s="148">
        <f t="shared" si="4"/>
        <v>10</v>
      </c>
      <c r="R19" s="148">
        <f t="shared" si="4"/>
        <v>11</v>
      </c>
      <c r="S19" s="148">
        <f t="shared" si="4"/>
        <v>12</v>
      </c>
      <c r="T19" s="148">
        <f t="shared" si="4"/>
        <v>13</v>
      </c>
      <c r="U19" s="148">
        <f t="shared" si="4"/>
        <v>14</v>
      </c>
      <c r="V19" s="148">
        <f t="shared" si="4"/>
        <v>15</v>
      </c>
      <c r="W19" s="148">
        <f t="shared" si="4"/>
        <v>16</v>
      </c>
      <c r="X19" s="148">
        <f t="shared" si="4"/>
        <v>17</v>
      </c>
      <c r="Y19" s="148">
        <f t="shared" si="4"/>
        <v>18</v>
      </c>
      <c r="Z19" s="148">
        <f t="shared" si="4"/>
        <v>19</v>
      </c>
      <c r="AA19" s="148">
        <f t="shared" si="4"/>
        <v>20</v>
      </c>
      <c r="AB19" s="148">
        <f t="shared" si="4"/>
        <v>21</v>
      </c>
      <c r="AC19" s="148">
        <f t="shared" si="4"/>
        <v>22</v>
      </c>
      <c r="AD19" s="148">
        <f t="shared" si="4"/>
        <v>23</v>
      </c>
      <c r="AE19" s="148">
        <f t="shared" si="4"/>
        <v>24</v>
      </c>
      <c r="AF19" s="148">
        <f aca="true" t="shared" si="5" ref="AF19:AS19">AE19+1</f>
        <v>25</v>
      </c>
      <c r="AG19" s="148">
        <f t="shared" si="5"/>
        <v>26</v>
      </c>
      <c r="AH19" s="148">
        <f t="shared" si="5"/>
        <v>27</v>
      </c>
      <c r="AI19" s="148">
        <f t="shared" si="5"/>
        <v>28</v>
      </c>
      <c r="AJ19" s="148">
        <f t="shared" si="5"/>
        <v>29</v>
      </c>
      <c r="AK19" s="148">
        <f t="shared" si="5"/>
        <v>30</v>
      </c>
      <c r="AL19" s="148">
        <f t="shared" si="5"/>
        <v>31</v>
      </c>
      <c r="AM19" s="148">
        <f t="shared" si="5"/>
        <v>32</v>
      </c>
      <c r="AN19" s="148">
        <f t="shared" si="5"/>
        <v>33</v>
      </c>
      <c r="AO19" s="148">
        <f t="shared" si="5"/>
        <v>34</v>
      </c>
      <c r="AP19" s="148">
        <f t="shared" si="5"/>
        <v>35</v>
      </c>
      <c r="AQ19" s="148">
        <f t="shared" si="5"/>
        <v>36</v>
      </c>
      <c r="AR19" s="148">
        <f t="shared" si="5"/>
        <v>37</v>
      </c>
      <c r="AS19" s="148">
        <f t="shared" si="5"/>
        <v>38</v>
      </c>
    </row>
    <row r="20" spans="2:5" ht="12.75">
      <c r="B20" s="132"/>
      <c r="C20" s="132"/>
      <c r="D20" s="132"/>
      <c r="E20" s="132">
        <f>Assumptions!C32</f>
        <v>0</v>
      </c>
    </row>
    <row r="21" spans="1:10" ht="12.75">
      <c r="A21" s="148">
        <v>1</v>
      </c>
      <c r="B21" s="132">
        <f aca="true" t="shared" si="6" ref="B21:B56">IF(E20&lt;$B$16,E20+C21,$B$16)</f>
        <v>0</v>
      </c>
      <c r="C21" s="132">
        <f aca="true" t="shared" si="7" ref="C21:C56">ROUND(E20*$B$17,0)</f>
        <v>0</v>
      </c>
      <c r="D21" s="132">
        <f aca="true" t="shared" si="8" ref="D21:D56">B21-C21</f>
        <v>0</v>
      </c>
      <c r="E21" s="132">
        <f>E20-D21</f>
        <v>0</v>
      </c>
      <c r="G21" s="116">
        <f>D21</f>
        <v>0</v>
      </c>
      <c r="H21" s="116">
        <f>G21*0.9</f>
        <v>0</v>
      </c>
      <c r="I21" s="116">
        <f>G21*0.05</f>
        <v>0</v>
      </c>
      <c r="J21" s="116">
        <f>G21*0.05</f>
        <v>0</v>
      </c>
    </row>
    <row r="22" spans="1:11" ht="12.75">
      <c r="A22" s="148">
        <v>2</v>
      </c>
      <c r="B22" s="132">
        <f t="shared" si="6"/>
        <v>0</v>
      </c>
      <c r="C22" s="132">
        <f t="shared" si="7"/>
        <v>0</v>
      </c>
      <c r="D22" s="132">
        <f t="shared" si="8"/>
        <v>0</v>
      </c>
      <c r="E22" s="132">
        <f aca="true" t="shared" si="9" ref="E22:E56">E21-D22</f>
        <v>0</v>
      </c>
      <c r="G22" s="116">
        <f aca="true" t="shared" si="10" ref="G22:G56">D22</f>
        <v>0</v>
      </c>
      <c r="I22" s="116">
        <f>G22*0.9</f>
        <v>0</v>
      </c>
      <c r="J22" s="116">
        <f>G22*0.05</f>
        <v>0</v>
      </c>
      <c r="K22" s="116">
        <f>G22*0.05</f>
        <v>0</v>
      </c>
    </row>
    <row r="23" spans="1:12" ht="12.75">
      <c r="A23" s="148">
        <v>3</v>
      </c>
      <c r="B23" s="132">
        <f t="shared" si="6"/>
        <v>0</v>
      </c>
      <c r="C23" s="132">
        <f t="shared" si="7"/>
        <v>0</v>
      </c>
      <c r="D23" s="132">
        <f t="shared" si="8"/>
        <v>0</v>
      </c>
      <c r="E23" s="132">
        <f t="shared" si="9"/>
        <v>0</v>
      </c>
      <c r="G23" s="116">
        <f t="shared" si="10"/>
        <v>0</v>
      </c>
      <c r="J23" s="116">
        <f>G23*0.9</f>
        <v>0</v>
      </c>
      <c r="K23" s="116">
        <f>G23*0.05</f>
        <v>0</v>
      </c>
      <c r="L23" s="116">
        <f>G23*0.05</f>
        <v>0</v>
      </c>
    </row>
    <row r="24" spans="1:13" ht="12.75">
      <c r="A24" s="148">
        <v>4</v>
      </c>
      <c r="B24" s="132">
        <f t="shared" si="6"/>
        <v>0</v>
      </c>
      <c r="C24" s="132">
        <f t="shared" si="7"/>
        <v>0</v>
      </c>
      <c r="D24" s="132">
        <f t="shared" si="8"/>
        <v>0</v>
      </c>
      <c r="E24" s="132">
        <f t="shared" si="9"/>
        <v>0</v>
      </c>
      <c r="G24" s="116">
        <f t="shared" si="10"/>
        <v>0</v>
      </c>
      <c r="K24" s="116">
        <f>G24*0.9</f>
        <v>0</v>
      </c>
      <c r="L24" s="116">
        <f>G24*0.05</f>
        <v>0</v>
      </c>
      <c r="M24" s="116">
        <f>G24*0.05</f>
        <v>0</v>
      </c>
    </row>
    <row r="25" spans="1:14" ht="12.75">
      <c r="A25" s="148">
        <v>5</v>
      </c>
      <c r="B25" s="132">
        <f t="shared" si="6"/>
        <v>0</v>
      </c>
      <c r="C25" s="132">
        <f t="shared" si="7"/>
        <v>0</v>
      </c>
      <c r="D25" s="132">
        <f t="shared" si="8"/>
        <v>0</v>
      </c>
      <c r="E25" s="132">
        <f t="shared" si="9"/>
        <v>0</v>
      </c>
      <c r="G25" s="116">
        <f t="shared" si="10"/>
        <v>0</v>
      </c>
      <c r="L25" s="116">
        <f>G25*0.9</f>
        <v>0</v>
      </c>
      <c r="M25" s="116">
        <f>G25*0.05</f>
        <v>0</v>
      </c>
      <c r="N25" s="116">
        <f>G25*0.05</f>
        <v>0</v>
      </c>
    </row>
    <row r="26" spans="1:15" ht="12.75">
      <c r="A26" s="148">
        <v>6</v>
      </c>
      <c r="B26" s="132">
        <f t="shared" si="6"/>
        <v>0</v>
      </c>
      <c r="C26" s="132">
        <f t="shared" si="7"/>
        <v>0</v>
      </c>
      <c r="D26" s="132">
        <f t="shared" si="8"/>
        <v>0</v>
      </c>
      <c r="E26" s="132">
        <f t="shared" si="9"/>
        <v>0</v>
      </c>
      <c r="G26" s="116">
        <f t="shared" si="10"/>
        <v>0</v>
      </c>
      <c r="M26" s="116">
        <f>G26*0.9</f>
        <v>0</v>
      </c>
      <c r="N26" s="116">
        <f>G26*0.05</f>
        <v>0</v>
      </c>
      <c r="O26" s="116">
        <f>G26*0.05</f>
        <v>0</v>
      </c>
    </row>
    <row r="27" spans="1:16" ht="12.75">
      <c r="A27" s="148">
        <v>7</v>
      </c>
      <c r="B27" s="132">
        <f t="shared" si="6"/>
        <v>0</v>
      </c>
      <c r="C27" s="132">
        <f t="shared" si="7"/>
        <v>0</v>
      </c>
      <c r="D27" s="132">
        <f t="shared" si="8"/>
        <v>0</v>
      </c>
      <c r="E27" s="132">
        <f t="shared" si="9"/>
        <v>0</v>
      </c>
      <c r="G27" s="116">
        <f t="shared" si="10"/>
        <v>0</v>
      </c>
      <c r="N27" s="116">
        <f>G27*0.9</f>
        <v>0</v>
      </c>
      <c r="O27" s="116">
        <f>G27*0.05</f>
        <v>0</v>
      </c>
      <c r="P27" s="116">
        <f>G27*0.05</f>
        <v>0</v>
      </c>
    </row>
    <row r="28" spans="1:17" ht="12.75">
      <c r="A28" s="148">
        <v>8</v>
      </c>
      <c r="B28" s="132">
        <f t="shared" si="6"/>
        <v>0</v>
      </c>
      <c r="C28" s="132">
        <f t="shared" si="7"/>
        <v>0</v>
      </c>
      <c r="D28" s="132">
        <f t="shared" si="8"/>
        <v>0</v>
      </c>
      <c r="E28" s="132">
        <f t="shared" si="9"/>
        <v>0</v>
      </c>
      <c r="G28" s="116">
        <f t="shared" si="10"/>
        <v>0</v>
      </c>
      <c r="O28" s="116">
        <f>G28*0.9</f>
        <v>0</v>
      </c>
      <c r="P28" s="116">
        <f>G28*0.05</f>
        <v>0</v>
      </c>
      <c r="Q28" s="116">
        <f>G28*0.05</f>
        <v>0</v>
      </c>
    </row>
    <row r="29" spans="1:18" ht="12.75">
      <c r="A29" s="148">
        <v>9</v>
      </c>
      <c r="B29" s="132">
        <f t="shared" si="6"/>
        <v>0</v>
      </c>
      <c r="C29" s="132">
        <f t="shared" si="7"/>
        <v>0</v>
      </c>
      <c r="D29" s="132">
        <f t="shared" si="8"/>
        <v>0</v>
      </c>
      <c r="E29" s="132">
        <f t="shared" si="9"/>
        <v>0</v>
      </c>
      <c r="G29" s="116">
        <f t="shared" si="10"/>
        <v>0</v>
      </c>
      <c r="P29" s="116">
        <f>G29*0.9</f>
        <v>0</v>
      </c>
      <c r="Q29" s="116">
        <f>G29*0.05</f>
        <v>0</v>
      </c>
      <c r="R29" s="116">
        <f>G29*0.05</f>
        <v>0</v>
      </c>
    </row>
    <row r="30" spans="1:19" ht="12.75">
      <c r="A30" s="148">
        <v>10</v>
      </c>
      <c r="B30" s="132">
        <f t="shared" si="6"/>
        <v>0</v>
      </c>
      <c r="C30" s="132">
        <f t="shared" si="7"/>
        <v>0</v>
      </c>
      <c r="D30" s="132">
        <f t="shared" si="8"/>
        <v>0</v>
      </c>
      <c r="E30" s="132">
        <f t="shared" si="9"/>
        <v>0</v>
      </c>
      <c r="G30" s="116">
        <f t="shared" si="10"/>
        <v>0</v>
      </c>
      <c r="Q30" s="116">
        <f>G30*0.9</f>
        <v>0</v>
      </c>
      <c r="R30" s="116">
        <f>G30*0.05</f>
        <v>0</v>
      </c>
      <c r="S30" s="116">
        <f>G30*0.05</f>
        <v>0</v>
      </c>
    </row>
    <row r="31" spans="1:20" ht="12.75">
      <c r="A31" s="148">
        <v>11</v>
      </c>
      <c r="B31" s="132">
        <f t="shared" si="6"/>
        <v>0</v>
      </c>
      <c r="C31" s="132">
        <f t="shared" si="7"/>
        <v>0</v>
      </c>
      <c r="D31" s="132">
        <f t="shared" si="8"/>
        <v>0</v>
      </c>
      <c r="E31" s="132">
        <f t="shared" si="9"/>
        <v>0</v>
      </c>
      <c r="G31" s="116">
        <f t="shared" si="10"/>
        <v>0</v>
      </c>
      <c r="R31" s="116">
        <f>G31*0.9</f>
        <v>0</v>
      </c>
      <c r="S31" s="116">
        <f>G31*0.05</f>
        <v>0</v>
      </c>
      <c r="T31" s="116">
        <f>G31*0.05</f>
        <v>0</v>
      </c>
    </row>
    <row r="32" spans="1:21" ht="12.75">
      <c r="A32" s="148">
        <v>12</v>
      </c>
      <c r="B32" s="132">
        <f t="shared" si="6"/>
        <v>0</v>
      </c>
      <c r="C32" s="132">
        <f t="shared" si="7"/>
        <v>0</v>
      </c>
      <c r="D32" s="132">
        <f t="shared" si="8"/>
        <v>0</v>
      </c>
      <c r="E32" s="132">
        <f t="shared" si="9"/>
        <v>0</v>
      </c>
      <c r="G32" s="116">
        <f t="shared" si="10"/>
        <v>0</v>
      </c>
      <c r="S32" s="116">
        <f>G32*0.9</f>
        <v>0</v>
      </c>
      <c r="T32" s="116">
        <f>G32*0.05</f>
        <v>0</v>
      </c>
      <c r="U32" s="116">
        <f>G32*0.05</f>
        <v>0</v>
      </c>
    </row>
    <row r="33" spans="1:22" ht="12.75">
      <c r="A33" s="148">
        <v>13</v>
      </c>
      <c r="B33" s="132">
        <f t="shared" si="6"/>
        <v>0</v>
      </c>
      <c r="C33" s="132">
        <f t="shared" si="7"/>
        <v>0</v>
      </c>
      <c r="D33" s="132">
        <f t="shared" si="8"/>
        <v>0</v>
      </c>
      <c r="E33" s="132">
        <f t="shared" si="9"/>
        <v>0</v>
      </c>
      <c r="G33" s="116">
        <f t="shared" si="10"/>
        <v>0</v>
      </c>
      <c r="T33" s="116">
        <f>G33*0.9</f>
        <v>0</v>
      </c>
      <c r="U33" s="116">
        <f>G33*0.05</f>
        <v>0</v>
      </c>
      <c r="V33" s="116">
        <f>G33*0.05</f>
        <v>0</v>
      </c>
    </row>
    <row r="34" spans="1:23" ht="12.75">
      <c r="A34" s="148">
        <v>14</v>
      </c>
      <c r="B34" s="132">
        <f t="shared" si="6"/>
        <v>0</v>
      </c>
      <c r="C34" s="132">
        <f t="shared" si="7"/>
        <v>0</v>
      </c>
      <c r="D34" s="132">
        <f t="shared" si="8"/>
        <v>0</v>
      </c>
      <c r="E34" s="132">
        <f t="shared" si="9"/>
        <v>0</v>
      </c>
      <c r="G34" s="116">
        <f t="shared" si="10"/>
        <v>0</v>
      </c>
      <c r="U34" s="116">
        <f>G34*0.9</f>
        <v>0</v>
      </c>
      <c r="V34" s="116">
        <f>G34*0.05</f>
        <v>0</v>
      </c>
      <c r="W34" s="116">
        <f>G34*0.05</f>
        <v>0</v>
      </c>
    </row>
    <row r="35" spans="1:24" ht="12.75">
      <c r="A35" s="148">
        <v>15</v>
      </c>
      <c r="B35" s="132">
        <f t="shared" si="6"/>
        <v>0</v>
      </c>
      <c r="C35" s="132">
        <f t="shared" si="7"/>
        <v>0</v>
      </c>
      <c r="D35" s="132">
        <f t="shared" si="8"/>
        <v>0</v>
      </c>
      <c r="E35" s="132">
        <f t="shared" si="9"/>
        <v>0</v>
      </c>
      <c r="G35" s="116">
        <f t="shared" si="10"/>
        <v>0</v>
      </c>
      <c r="V35" s="116">
        <f>G35*0.9</f>
        <v>0</v>
      </c>
      <c r="W35" s="116">
        <f>G35*0.05</f>
        <v>0</v>
      </c>
      <c r="X35" s="116">
        <f>G35*0.05</f>
        <v>0</v>
      </c>
    </row>
    <row r="36" spans="1:25" ht="12.75">
      <c r="A36" s="148">
        <v>16</v>
      </c>
      <c r="B36" s="132">
        <f t="shared" si="6"/>
        <v>0</v>
      </c>
      <c r="C36" s="132">
        <f t="shared" si="7"/>
        <v>0</v>
      </c>
      <c r="D36" s="132">
        <f t="shared" si="8"/>
        <v>0</v>
      </c>
      <c r="E36" s="132">
        <f t="shared" si="9"/>
        <v>0</v>
      </c>
      <c r="G36" s="116">
        <f t="shared" si="10"/>
        <v>0</v>
      </c>
      <c r="W36" s="116">
        <f>G36*0.9</f>
        <v>0</v>
      </c>
      <c r="X36" s="116">
        <f>G36*0.05</f>
        <v>0</v>
      </c>
      <c r="Y36" s="116">
        <f>G36*0.05</f>
        <v>0</v>
      </c>
    </row>
    <row r="37" spans="1:26" ht="12.75">
      <c r="A37" s="148">
        <v>17</v>
      </c>
      <c r="B37" s="132">
        <f t="shared" si="6"/>
        <v>0</v>
      </c>
      <c r="C37" s="132">
        <f t="shared" si="7"/>
        <v>0</v>
      </c>
      <c r="D37" s="132">
        <f t="shared" si="8"/>
        <v>0</v>
      </c>
      <c r="E37" s="132">
        <f t="shared" si="9"/>
        <v>0</v>
      </c>
      <c r="G37" s="116">
        <f t="shared" si="10"/>
        <v>0</v>
      </c>
      <c r="X37" s="116">
        <f>G37*0.9</f>
        <v>0</v>
      </c>
      <c r="Y37" s="116">
        <f>G37*0.05</f>
        <v>0</v>
      </c>
      <c r="Z37" s="116">
        <f>G37*0.05</f>
        <v>0</v>
      </c>
    </row>
    <row r="38" spans="1:27" ht="12.75">
      <c r="A38" s="148">
        <v>18</v>
      </c>
      <c r="B38" s="132">
        <f t="shared" si="6"/>
        <v>0</v>
      </c>
      <c r="C38" s="132">
        <f t="shared" si="7"/>
        <v>0</v>
      </c>
      <c r="D38" s="132">
        <f t="shared" si="8"/>
        <v>0</v>
      </c>
      <c r="E38" s="132">
        <f t="shared" si="9"/>
        <v>0</v>
      </c>
      <c r="G38" s="116">
        <f t="shared" si="10"/>
        <v>0</v>
      </c>
      <c r="Y38" s="116">
        <f>G38*0.9</f>
        <v>0</v>
      </c>
      <c r="Z38" s="116">
        <f>G38*0.05</f>
        <v>0</v>
      </c>
      <c r="AA38" s="116">
        <f>G38*0.05</f>
        <v>0</v>
      </c>
    </row>
    <row r="39" spans="1:28" ht="12.75">
      <c r="A39" s="148">
        <v>19</v>
      </c>
      <c r="B39" s="132">
        <f t="shared" si="6"/>
        <v>0</v>
      </c>
      <c r="C39" s="132">
        <f t="shared" si="7"/>
        <v>0</v>
      </c>
      <c r="D39" s="132">
        <f t="shared" si="8"/>
        <v>0</v>
      </c>
      <c r="E39" s="132">
        <f t="shared" si="9"/>
        <v>0</v>
      </c>
      <c r="G39" s="116">
        <f t="shared" si="10"/>
        <v>0</v>
      </c>
      <c r="Z39" s="116">
        <f>G39*0.9</f>
        <v>0</v>
      </c>
      <c r="AA39" s="116">
        <f>G39*0.05</f>
        <v>0</v>
      </c>
      <c r="AB39" s="116">
        <f>G39*0.05</f>
        <v>0</v>
      </c>
    </row>
    <row r="40" spans="1:29" ht="12.75">
      <c r="A40" s="148">
        <v>20</v>
      </c>
      <c r="B40" s="132">
        <f t="shared" si="6"/>
        <v>0</v>
      </c>
      <c r="C40" s="132">
        <f t="shared" si="7"/>
        <v>0</v>
      </c>
      <c r="D40" s="132">
        <f t="shared" si="8"/>
        <v>0</v>
      </c>
      <c r="E40" s="132">
        <f t="shared" si="9"/>
        <v>0</v>
      </c>
      <c r="G40" s="116">
        <f t="shared" si="10"/>
        <v>0</v>
      </c>
      <c r="AA40" s="116">
        <f>G40*0.9</f>
        <v>0</v>
      </c>
      <c r="AB40" s="116">
        <f>G40*0.05</f>
        <v>0</v>
      </c>
      <c r="AC40" s="116">
        <f>G40*0.05</f>
        <v>0</v>
      </c>
    </row>
    <row r="41" spans="1:30" ht="12.75">
      <c r="A41" s="148">
        <v>21</v>
      </c>
      <c r="B41" s="132">
        <f t="shared" si="6"/>
        <v>0</v>
      </c>
      <c r="C41" s="132">
        <f t="shared" si="7"/>
        <v>0</v>
      </c>
      <c r="D41" s="132">
        <f t="shared" si="8"/>
        <v>0</v>
      </c>
      <c r="E41" s="132">
        <f t="shared" si="9"/>
        <v>0</v>
      </c>
      <c r="G41" s="116">
        <f t="shared" si="10"/>
        <v>0</v>
      </c>
      <c r="AB41" s="116">
        <f>G41*0.9</f>
        <v>0</v>
      </c>
      <c r="AC41" s="116">
        <f>G41*0.05</f>
        <v>0</v>
      </c>
      <c r="AD41" s="116">
        <f>G41*0.05</f>
        <v>0</v>
      </c>
    </row>
    <row r="42" spans="1:31" ht="12.75">
      <c r="A42" s="148">
        <v>22</v>
      </c>
      <c r="B42" s="132">
        <f t="shared" si="6"/>
        <v>0</v>
      </c>
      <c r="C42" s="132">
        <f t="shared" si="7"/>
        <v>0</v>
      </c>
      <c r="D42" s="132">
        <f t="shared" si="8"/>
        <v>0</v>
      </c>
      <c r="E42" s="132">
        <f t="shared" si="9"/>
        <v>0</v>
      </c>
      <c r="G42" s="116">
        <f t="shared" si="10"/>
        <v>0</v>
      </c>
      <c r="AC42" s="116">
        <f>G42*0.9</f>
        <v>0</v>
      </c>
      <c r="AD42" s="116">
        <f>G42*0.05</f>
        <v>0</v>
      </c>
      <c r="AE42" s="116">
        <f>G42*0.05</f>
        <v>0</v>
      </c>
    </row>
    <row r="43" spans="1:32" ht="12.75">
      <c r="A43" s="148">
        <v>23</v>
      </c>
      <c r="B43" s="132">
        <f t="shared" si="6"/>
        <v>0</v>
      </c>
      <c r="C43" s="132">
        <f t="shared" si="7"/>
        <v>0</v>
      </c>
      <c r="D43" s="132">
        <f t="shared" si="8"/>
        <v>0</v>
      </c>
      <c r="E43" s="132">
        <f t="shared" si="9"/>
        <v>0</v>
      </c>
      <c r="G43" s="116">
        <f t="shared" si="10"/>
        <v>0</v>
      </c>
      <c r="AD43" s="116">
        <f>G43*0.9</f>
        <v>0</v>
      </c>
      <c r="AE43" s="116">
        <f>G43*0.05</f>
        <v>0</v>
      </c>
      <c r="AF43" s="116">
        <f>G43*0.05</f>
        <v>0</v>
      </c>
    </row>
    <row r="44" spans="1:33" ht="12.75">
      <c r="A44" s="148">
        <v>24</v>
      </c>
      <c r="B44" s="132">
        <f t="shared" si="6"/>
        <v>0</v>
      </c>
      <c r="C44" s="132">
        <f t="shared" si="7"/>
        <v>0</v>
      </c>
      <c r="D44" s="132">
        <f t="shared" si="8"/>
        <v>0</v>
      </c>
      <c r="E44" s="132">
        <f t="shared" si="9"/>
        <v>0</v>
      </c>
      <c r="G44" s="116">
        <f t="shared" si="10"/>
        <v>0</v>
      </c>
      <c r="AE44" s="116">
        <f>G44*0.9</f>
        <v>0</v>
      </c>
      <c r="AF44" s="116">
        <f>G44*0.05</f>
        <v>0</v>
      </c>
      <c r="AG44" s="116">
        <f>G44*0.05</f>
        <v>0</v>
      </c>
    </row>
    <row r="45" spans="1:34" ht="12.75">
      <c r="A45" s="148">
        <v>25</v>
      </c>
      <c r="B45" s="132">
        <f t="shared" si="6"/>
        <v>0</v>
      </c>
      <c r="C45" s="132">
        <f t="shared" si="7"/>
        <v>0</v>
      </c>
      <c r="D45" s="132">
        <f t="shared" si="8"/>
        <v>0</v>
      </c>
      <c r="E45" s="132">
        <f t="shared" si="9"/>
        <v>0</v>
      </c>
      <c r="G45" s="116">
        <f t="shared" si="10"/>
        <v>0</v>
      </c>
      <c r="AF45" s="116">
        <f>G45*0.9</f>
        <v>0</v>
      </c>
      <c r="AG45" s="116">
        <f>G45*0.05</f>
        <v>0</v>
      </c>
      <c r="AH45" s="116">
        <f>G45*0.05</f>
        <v>0</v>
      </c>
    </row>
    <row r="46" spans="1:35" ht="12.75">
      <c r="A46" s="148">
        <v>26</v>
      </c>
      <c r="B46" s="132">
        <f t="shared" si="6"/>
        <v>0</v>
      </c>
      <c r="C46" s="132">
        <f t="shared" si="7"/>
        <v>0</v>
      </c>
      <c r="D46" s="132">
        <f t="shared" si="8"/>
        <v>0</v>
      </c>
      <c r="E46" s="132">
        <f t="shared" si="9"/>
        <v>0</v>
      </c>
      <c r="G46" s="116">
        <f t="shared" si="10"/>
        <v>0</v>
      </c>
      <c r="AG46" s="116">
        <f>G46*0.9</f>
        <v>0</v>
      </c>
      <c r="AH46" s="116">
        <f>G46*0.05</f>
        <v>0</v>
      </c>
      <c r="AI46" s="116">
        <f>G46*0.05</f>
        <v>0</v>
      </c>
    </row>
    <row r="47" spans="1:36" ht="12.75">
      <c r="A47" s="148">
        <v>27</v>
      </c>
      <c r="B47" s="132">
        <f t="shared" si="6"/>
        <v>0</v>
      </c>
      <c r="C47" s="132">
        <f t="shared" si="7"/>
        <v>0</v>
      </c>
      <c r="D47" s="132">
        <f t="shared" si="8"/>
        <v>0</v>
      </c>
      <c r="E47" s="132">
        <f t="shared" si="9"/>
        <v>0</v>
      </c>
      <c r="G47" s="116">
        <f t="shared" si="10"/>
        <v>0</v>
      </c>
      <c r="AH47" s="116">
        <f>G47*0.9</f>
        <v>0</v>
      </c>
      <c r="AI47" s="116">
        <f>G47*0.05</f>
        <v>0</v>
      </c>
      <c r="AJ47" s="116">
        <f>G47*0.05</f>
        <v>0</v>
      </c>
    </row>
    <row r="48" spans="1:37" ht="12.75">
      <c r="A48" s="148">
        <v>28</v>
      </c>
      <c r="B48" s="132">
        <f t="shared" si="6"/>
        <v>0</v>
      </c>
      <c r="C48" s="132">
        <f t="shared" si="7"/>
        <v>0</v>
      </c>
      <c r="D48" s="132">
        <f t="shared" si="8"/>
        <v>0</v>
      </c>
      <c r="E48" s="132">
        <f t="shared" si="9"/>
        <v>0</v>
      </c>
      <c r="G48" s="116">
        <f t="shared" si="10"/>
        <v>0</v>
      </c>
      <c r="AI48" s="116">
        <f>G48*0.9</f>
        <v>0</v>
      </c>
      <c r="AJ48" s="116">
        <f>G48*0.05</f>
        <v>0</v>
      </c>
      <c r="AK48" s="116">
        <f>G48*0.05</f>
        <v>0</v>
      </c>
    </row>
    <row r="49" spans="1:38" ht="12.75">
      <c r="A49" s="148">
        <v>29</v>
      </c>
      <c r="B49" s="132">
        <f t="shared" si="6"/>
        <v>0</v>
      </c>
      <c r="C49" s="132">
        <f t="shared" si="7"/>
        <v>0</v>
      </c>
      <c r="D49" s="132">
        <f t="shared" si="8"/>
        <v>0</v>
      </c>
      <c r="E49" s="132">
        <f t="shared" si="9"/>
        <v>0</v>
      </c>
      <c r="G49" s="116">
        <f t="shared" si="10"/>
        <v>0</v>
      </c>
      <c r="AJ49" s="116">
        <f>G49*0.9</f>
        <v>0</v>
      </c>
      <c r="AK49" s="116">
        <f>G49*0.05</f>
        <v>0</v>
      </c>
      <c r="AL49" s="116">
        <f>G49*0.05</f>
        <v>0</v>
      </c>
    </row>
    <row r="50" spans="1:39" ht="12.75">
      <c r="A50" s="148">
        <v>30</v>
      </c>
      <c r="B50" s="132">
        <f t="shared" si="6"/>
        <v>0</v>
      </c>
      <c r="C50" s="132">
        <f t="shared" si="7"/>
        <v>0</v>
      </c>
      <c r="D50" s="132">
        <f t="shared" si="8"/>
        <v>0</v>
      </c>
      <c r="E50" s="132">
        <f t="shared" si="9"/>
        <v>0</v>
      </c>
      <c r="G50" s="116">
        <f t="shared" si="10"/>
        <v>0</v>
      </c>
      <c r="AK50" s="116">
        <f>G50*0.9</f>
        <v>0</v>
      </c>
      <c r="AL50" s="116">
        <f>G50*0.05</f>
        <v>0</v>
      </c>
      <c r="AM50" s="116">
        <f>G50*0.05</f>
        <v>0</v>
      </c>
    </row>
    <row r="51" spans="1:40" ht="12.75">
      <c r="A51" s="148">
        <v>31</v>
      </c>
      <c r="B51" s="132">
        <f t="shared" si="6"/>
        <v>0</v>
      </c>
      <c r="C51" s="132">
        <f t="shared" si="7"/>
        <v>0</v>
      </c>
      <c r="D51" s="132">
        <f t="shared" si="8"/>
        <v>0</v>
      </c>
      <c r="E51" s="132">
        <f t="shared" si="9"/>
        <v>0</v>
      </c>
      <c r="G51" s="116">
        <f t="shared" si="10"/>
        <v>0</v>
      </c>
      <c r="AL51" s="116">
        <f>G51*0.9</f>
        <v>0</v>
      </c>
      <c r="AM51" s="116">
        <f>G51*0.05</f>
        <v>0</v>
      </c>
      <c r="AN51" s="116">
        <f>G51*0.05</f>
        <v>0</v>
      </c>
    </row>
    <row r="52" spans="1:41" ht="12.75">
      <c r="A52" s="148">
        <v>32</v>
      </c>
      <c r="B52" s="132">
        <f t="shared" si="6"/>
        <v>0</v>
      </c>
      <c r="C52" s="132">
        <f t="shared" si="7"/>
        <v>0</v>
      </c>
      <c r="D52" s="132">
        <f t="shared" si="8"/>
        <v>0</v>
      </c>
      <c r="E52" s="132">
        <f t="shared" si="9"/>
        <v>0</v>
      </c>
      <c r="G52" s="116">
        <f t="shared" si="10"/>
        <v>0</v>
      </c>
      <c r="AM52" s="116">
        <f>G52*0.9</f>
        <v>0</v>
      </c>
      <c r="AN52" s="116">
        <f>G52*0.05</f>
        <v>0</v>
      </c>
      <c r="AO52" s="116">
        <f>G52*0.05</f>
        <v>0</v>
      </c>
    </row>
    <row r="53" spans="1:42" ht="12.75">
      <c r="A53" s="148">
        <v>33</v>
      </c>
      <c r="B53" s="132">
        <f t="shared" si="6"/>
        <v>0</v>
      </c>
      <c r="C53" s="132">
        <f t="shared" si="7"/>
        <v>0</v>
      </c>
      <c r="D53" s="132">
        <f t="shared" si="8"/>
        <v>0</v>
      </c>
      <c r="E53" s="132">
        <f t="shared" si="9"/>
        <v>0</v>
      </c>
      <c r="G53" s="116">
        <f t="shared" si="10"/>
        <v>0</v>
      </c>
      <c r="AN53" s="116">
        <f>G53*0.9</f>
        <v>0</v>
      </c>
      <c r="AO53" s="116">
        <f>G53*0.05</f>
        <v>0</v>
      </c>
      <c r="AP53" s="116">
        <f>G53*0.05</f>
        <v>0</v>
      </c>
    </row>
    <row r="54" spans="1:43" ht="12.75">
      <c r="A54" s="148">
        <v>34</v>
      </c>
      <c r="B54" s="132">
        <f t="shared" si="6"/>
        <v>0</v>
      </c>
      <c r="C54" s="132">
        <f t="shared" si="7"/>
        <v>0</v>
      </c>
      <c r="D54" s="132">
        <f t="shared" si="8"/>
        <v>0</v>
      </c>
      <c r="E54" s="132">
        <f t="shared" si="9"/>
        <v>0</v>
      </c>
      <c r="G54" s="116">
        <f t="shared" si="10"/>
        <v>0</v>
      </c>
      <c r="AO54" s="116">
        <f>G54*0.9</f>
        <v>0</v>
      </c>
      <c r="AP54" s="116">
        <f>G54*0.05</f>
        <v>0</v>
      </c>
      <c r="AQ54" s="116">
        <f>G54*0.05</f>
        <v>0</v>
      </c>
    </row>
    <row r="55" spans="1:44" ht="12.75">
      <c r="A55" s="148">
        <v>35</v>
      </c>
      <c r="B55" s="132">
        <f t="shared" si="6"/>
        <v>0</v>
      </c>
      <c r="C55" s="132">
        <f t="shared" si="7"/>
        <v>0</v>
      </c>
      <c r="D55" s="132">
        <f t="shared" si="8"/>
        <v>0</v>
      </c>
      <c r="E55" s="132">
        <f t="shared" si="9"/>
        <v>0</v>
      </c>
      <c r="G55" s="116">
        <f t="shared" si="10"/>
        <v>0</v>
      </c>
      <c r="AP55" s="116">
        <f>G55*0.9</f>
        <v>0</v>
      </c>
      <c r="AQ55" s="116">
        <f>G55*0.05</f>
        <v>0</v>
      </c>
      <c r="AR55" s="116">
        <f>G55*0.05</f>
        <v>0</v>
      </c>
    </row>
    <row r="56" spans="1:45" ht="12.75">
      <c r="A56" s="148">
        <v>36</v>
      </c>
      <c r="B56" s="132">
        <f t="shared" si="6"/>
        <v>0</v>
      </c>
      <c r="C56" s="132">
        <f t="shared" si="7"/>
        <v>0</v>
      </c>
      <c r="D56" s="132">
        <f t="shared" si="8"/>
        <v>0</v>
      </c>
      <c r="E56" s="132">
        <f t="shared" si="9"/>
        <v>0</v>
      </c>
      <c r="G56" s="116">
        <f t="shared" si="10"/>
        <v>0</v>
      </c>
      <c r="AQ56" s="116">
        <f>G56*0.9</f>
        <v>0</v>
      </c>
      <c r="AR56" s="116">
        <f>G56*0.05</f>
        <v>0</v>
      </c>
      <c r="AS56" s="116">
        <f>G56*0.05</f>
        <v>0</v>
      </c>
    </row>
    <row r="57" spans="1:45" ht="13.5" thickBot="1">
      <c r="A57" s="116" t="s">
        <v>123</v>
      </c>
      <c r="B57" s="135">
        <f>SUM(B21:B56)</f>
        <v>0</v>
      </c>
      <c r="C57" s="135">
        <f>SUM(C21:C56)</f>
        <v>0</v>
      </c>
      <c r="D57" s="135">
        <f>SUM(D21:D56)</f>
        <v>0</v>
      </c>
      <c r="E57" s="132"/>
      <c r="G57" s="135">
        <f aca="true" t="shared" si="11" ref="G57:AE57">SUM(G21:G56)</f>
        <v>0</v>
      </c>
      <c r="H57" s="135">
        <f t="shared" si="11"/>
        <v>0</v>
      </c>
      <c r="I57" s="135">
        <f t="shared" si="11"/>
        <v>0</v>
      </c>
      <c r="J57" s="135">
        <f t="shared" si="11"/>
        <v>0</v>
      </c>
      <c r="K57" s="135">
        <f t="shared" si="11"/>
        <v>0</v>
      </c>
      <c r="L57" s="135">
        <f t="shared" si="11"/>
        <v>0</v>
      </c>
      <c r="M57" s="135">
        <f t="shared" si="11"/>
        <v>0</v>
      </c>
      <c r="N57" s="135">
        <f t="shared" si="11"/>
        <v>0</v>
      </c>
      <c r="O57" s="135">
        <f t="shared" si="11"/>
        <v>0</v>
      </c>
      <c r="P57" s="135">
        <f t="shared" si="11"/>
        <v>0</v>
      </c>
      <c r="Q57" s="135">
        <f t="shared" si="11"/>
        <v>0</v>
      </c>
      <c r="R57" s="135">
        <f t="shared" si="11"/>
        <v>0</v>
      </c>
      <c r="S57" s="135">
        <f t="shared" si="11"/>
        <v>0</v>
      </c>
      <c r="T57" s="135">
        <f t="shared" si="11"/>
        <v>0</v>
      </c>
      <c r="U57" s="135">
        <f t="shared" si="11"/>
        <v>0</v>
      </c>
      <c r="V57" s="135">
        <f t="shared" si="11"/>
        <v>0</v>
      </c>
      <c r="W57" s="135">
        <f t="shared" si="11"/>
        <v>0</v>
      </c>
      <c r="X57" s="135">
        <f t="shared" si="11"/>
        <v>0</v>
      </c>
      <c r="Y57" s="135">
        <f t="shared" si="11"/>
        <v>0</v>
      </c>
      <c r="Z57" s="135">
        <f t="shared" si="11"/>
        <v>0</v>
      </c>
      <c r="AA57" s="135">
        <f t="shared" si="11"/>
        <v>0</v>
      </c>
      <c r="AB57" s="135">
        <f t="shared" si="11"/>
        <v>0</v>
      </c>
      <c r="AC57" s="135">
        <f t="shared" si="11"/>
        <v>0</v>
      </c>
      <c r="AD57" s="135">
        <f t="shared" si="11"/>
        <v>0</v>
      </c>
      <c r="AE57" s="135">
        <f t="shared" si="11"/>
        <v>0</v>
      </c>
      <c r="AF57" s="135">
        <f aca="true" t="shared" si="12" ref="AF57:AS57">SUM(AF21:AF56)</f>
        <v>0</v>
      </c>
      <c r="AG57" s="135">
        <f t="shared" si="12"/>
        <v>0</v>
      </c>
      <c r="AH57" s="135">
        <f t="shared" si="12"/>
        <v>0</v>
      </c>
      <c r="AI57" s="135">
        <f t="shared" si="12"/>
        <v>0</v>
      </c>
      <c r="AJ57" s="135">
        <f t="shared" si="12"/>
        <v>0</v>
      </c>
      <c r="AK57" s="135">
        <f t="shared" si="12"/>
        <v>0</v>
      </c>
      <c r="AL57" s="135">
        <f t="shared" si="12"/>
        <v>0</v>
      </c>
      <c r="AM57" s="135">
        <f t="shared" si="12"/>
        <v>0</v>
      </c>
      <c r="AN57" s="135">
        <f t="shared" si="12"/>
        <v>0</v>
      </c>
      <c r="AO57" s="135">
        <f t="shared" si="12"/>
        <v>0</v>
      </c>
      <c r="AP57" s="135">
        <f t="shared" si="12"/>
        <v>0</v>
      </c>
      <c r="AQ57" s="135">
        <f t="shared" si="12"/>
        <v>0</v>
      </c>
      <c r="AR57" s="135">
        <f t="shared" si="12"/>
        <v>0</v>
      </c>
      <c r="AS57" s="135">
        <f t="shared" si="12"/>
        <v>0</v>
      </c>
    </row>
    <row r="58" ht="13.5" thickTop="1"/>
    <row r="59" spans="1:45" ht="13.5" thickBot="1">
      <c r="A59" s="116" t="s">
        <v>124</v>
      </c>
      <c r="B59" s="150">
        <f>SUM(B21:B44)</f>
        <v>0</v>
      </c>
      <c r="C59" s="150">
        <f>SUM(C21:C44)</f>
        <v>0</v>
      </c>
      <c r="D59" s="150">
        <f>SUM(D21:D44)</f>
        <v>0</v>
      </c>
      <c r="G59" s="116" t="s">
        <v>249</v>
      </c>
      <c r="H59" s="148">
        <v>1</v>
      </c>
      <c r="I59" s="148">
        <f>H59+1</f>
        <v>2</v>
      </c>
      <c r="J59" s="148">
        <f>I59+1</f>
        <v>3</v>
      </c>
      <c r="K59" s="148">
        <f aca="true" t="shared" si="13" ref="K59:AE59">J59+1</f>
        <v>4</v>
      </c>
      <c r="L59" s="148">
        <f t="shared" si="13"/>
        <v>5</v>
      </c>
      <c r="M59" s="148">
        <f t="shared" si="13"/>
        <v>6</v>
      </c>
      <c r="N59" s="148">
        <f t="shared" si="13"/>
        <v>7</v>
      </c>
      <c r="O59" s="148">
        <f t="shared" si="13"/>
        <v>8</v>
      </c>
      <c r="P59" s="148">
        <f t="shared" si="13"/>
        <v>9</v>
      </c>
      <c r="Q59" s="148">
        <f t="shared" si="13"/>
        <v>10</v>
      </c>
      <c r="R59" s="148">
        <f t="shared" si="13"/>
        <v>11</v>
      </c>
      <c r="S59" s="148">
        <f t="shared" si="13"/>
        <v>12</v>
      </c>
      <c r="T59" s="148">
        <f t="shared" si="13"/>
        <v>13</v>
      </c>
      <c r="U59" s="148">
        <f t="shared" si="13"/>
        <v>14</v>
      </c>
      <c r="V59" s="148">
        <f t="shared" si="13"/>
        <v>15</v>
      </c>
      <c r="W59" s="148">
        <f t="shared" si="13"/>
        <v>16</v>
      </c>
      <c r="X59" s="148">
        <f t="shared" si="13"/>
        <v>17</v>
      </c>
      <c r="Y59" s="148">
        <f t="shared" si="13"/>
        <v>18</v>
      </c>
      <c r="Z59" s="148">
        <f t="shared" si="13"/>
        <v>19</v>
      </c>
      <c r="AA59" s="148">
        <f t="shared" si="13"/>
        <v>20</v>
      </c>
      <c r="AB59" s="148">
        <f t="shared" si="13"/>
        <v>21</v>
      </c>
      <c r="AC59" s="148">
        <f t="shared" si="13"/>
        <v>22</v>
      </c>
      <c r="AD59" s="148">
        <f t="shared" si="13"/>
        <v>23</v>
      </c>
      <c r="AE59" s="148">
        <f t="shared" si="13"/>
        <v>24</v>
      </c>
      <c r="AF59" s="148">
        <f aca="true" t="shared" si="14" ref="AF59:AS59">AE59+1</f>
        <v>25</v>
      </c>
      <c r="AG59" s="148">
        <f t="shared" si="14"/>
        <v>26</v>
      </c>
      <c r="AH59" s="148">
        <f t="shared" si="14"/>
        <v>27</v>
      </c>
      <c r="AI59" s="148">
        <f t="shared" si="14"/>
        <v>28</v>
      </c>
      <c r="AJ59" s="148">
        <f t="shared" si="14"/>
        <v>29</v>
      </c>
      <c r="AK59" s="148">
        <f t="shared" si="14"/>
        <v>30</v>
      </c>
      <c r="AL59" s="148">
        <f t="shared" si="14"/>
        <v>31</v>
      </c>
      <c r="AM59" s="148">
        <f t="shared" si="14"/>
        <v>32</v>
      </c>
      <c r="AN59" s="148">
        <f t="shared" si="14"/>
        <v>33</v>
      </c>
      <c r="AO59" s="148">
        <f t="shared" si="14"/>
        <v>34</v>
      </c>
      <c r="AP59" s="148">
        <f t="shared" si="14"/>
        <v>35</v>
      </c>
      <c r="AQ59" s="148">
        <f t="shared" si="14"/>
        <v>36</v>
      </c>
      <c r="AR59" s="148">
        <f t="shared" si="14"/>
        <v>37</v>
      </c>
      <c r="AS59" s="148">
        <f t="shared" si="14"/>
        <v>38</v>
      </c>
    </row>
    <row r="60" ht="13.5" thickTop="1"/>
    <row r="61" spans="7:10" ht="12.75">
      <c r="G61" s="116">
        <f>C21</f>
        <v>0</v>
      </c>
      <c r="H61" s="116">
        <f>G61*0.9</f>
        <v>0</v>
      </c>
      <c r="I61" s="116">
        <f>G61*0.05</f>
        <v>0</v>
      </c>
      <c r="J61" s="116">
        <f>G61*0.05</f>
        <v>0</v>
      </c>
    </row>
    <row r="62" spans="7:11" ht="12.75">
      <c r="G62" s="116">
        <f aca="true" t="shared" si="15" ref="G62:G96">C22</f>
        <v>0</v>
      </c>
      <c r="I62" s="116">
        <f>G62*0.9</f>
        <v>0</v>
      </c>
      <c r="J62" s="116">
        <f>G62*0.05</f>
        <v>0</v>
      </c>
      <c r="K62" s="116">
        <f>G62*0.05</f>
        <v>0</v>
      </c>
    </row>
    <row r="63" spans="7:12" ht="12.75">
      <c r="G63" s="116">
        <f t="shared" si="15"/>
        <v>0</v>
      </c>
      <c r="J63" s="116">
        <f>G63*0.9</f>
        <v>0</v>
      </c>
      <c r="K63" s="116">
        <f>G63*0.05</f>
        <v>0</v>
      </c>
      <c r="L63" s="116">
        <f>G63*0.05</f>
        <v>0</v>
      </c>
    </row>
    <row r="64" spans="7:13" ht="12.75">
      <c r="G64" s="116">
        <f t="shared" si="15"/>
        <v>0</v>
      </c>
      <c r="K64" s="116">
        <f>G64*0.9</f>
        <v>0</v>
      </c>
      <c r="L64" s="116">
        <f>G64*0.05</f>
        <v>0</v>
      </c>
      <c r="M64" s="116">
        <f>G64*0.05</f>
        <v>0</v>
      </c>
    </row>
    <row r="65" spans="7:14" ht="12.75">
      <c r="G65" s="116">
        <f t="shared" si="15"/>
        <v>0</v>
      </c>
      <c r="L65" s="116">
        <f>G65*0.9</f>
        <v>0</v>
      </c>
      <c r="M65" s="116">
        <f>G65*0.05</f>
        <v>0</v>
      </c>
      <c r="N65" s="116">
        <f>G65*0.05</f>
        <v>0</v>
      </c>
    </row>
    <row r="66" spans="7:15" ht="12.75">
      <c r="G66" s="116">
        <f t="shared" si="15"/>
        <v>0</v>
      </c>
      <c r="M66" s="116">
        <f>G66*0.9</f>
        <v>0</v>
      </c>
      <c r="N66" s="116">
        <f>G66*0.05</f>
        <v>0</v>
      </c>
      <c r="O66" s="116">
        <f>G66*0.05</f>
        <v>0</v>
      </c>
    </row>
    <row r="67" spans="7:16" ht="12.75">
      <c r="G67" s="116">
        <f t="shared" si="15"/>
        <v>0</v>
      </c>
      <c r="N67" s="116">
        <f>G67*0.9</f>
        <v>0</v>
      </c>
      <c r="O67" s="116">
        <f>G67*0.05</f>
        <v>0</v>
      </c>
      <c r="P67" s="116">
        <f>G67*0.05</f>
        <v>0</v>
      </c>
    </row>
    <row r="68" spans="7:17" ht="12.75">
      <c r="G68" s="116">
        <f t="shared" si="15"/>
        <v>0</v>
      </c>
      <c r="O68" s="116">
        <f>G68*0.9</f>
        <v>0</v>
      </c>
      <c r="P68" s="116">
        <f>G68*0.05</f>
        <v>0</v>
      </c>
      <c r="Q68" s="116">
        <f>G68*0.05</f>
        <v>0</v>
      </c>
    </row>
    <row r="69" spans="7:18" ht="12.75">
      <c r="G69" s="116">
        <f t="shared" si="15"/>
        <v>0</v>
      </c>
      <c r="P69" s="116">
        <f>G69*0.9</f>
        <v>0</v>
      </c>
      <c r="Q69" s="116">
        <f>G69*0.05</f>
        <v>0</v>
      </c>
      <c r="R69" s="116">
        <f>G69*0.05</f>
        <v>0</v>
      </c>
    </row>
    <row r="70" spans="7:19" ht="12.75">
      <c r="G70" s="116">
        <f t="shared" si="15"/>
        <v>0</v>
      </c>
      <c r="Q70" s="116">
        <f>G70*0.9</f>
        <v>0</v>
      </c>
      <c r="R70" s="116">
        <f>G70*0.05</f>
        <v>0</v>
      </c>
      <c r="S70" s="116">
        <f>G70*0.05</f>
        <v>0</v>
      </c>
    </row>
    <row r="71" spans="7:20" ht="12.75">
      <c r="G71" s="116">
        <f t="shared" si="15"/>
        <v>0</v>
      </c>
      <c r="R71" s="116">
        <f>G71*0.9</f>
        <v>0</v>
      </c>
      <c r="S71" s="116">
        <f>G71*0.05</f>
        <v>0</v>
      </c>
      <c r="T71" s="116">
        <f>G71*0.05</f>
        <v>0</v>
      </c>
    </row>
    <row r="72" spans="7:21" ht="12.75">
      <c r="G72" s="116">
        <f t="shared" si="15"/>
        <v>0</v>
      </c>
      <c r="S72" s="116">
        <f>G72*0.9</f>
        <v>0</v>
      </c>
      <c r="T72" s="116">
        <f>G72*0.05</f>
        <v>0</v>
      </c>
      <c r="U72" s="116">
        <f>G72*0.05</f>
        <v>0</v>
      </c>
    </row>
    <row r="73" spans="7:22" ht="12.75">
      <c r="G73" s="116">
        <f t="shared" si="15"/>
        <v>0</v>
      </c>
      <c r="T73" s="116">
        <f>G73*0.9</f>
        <v>0</v>
      </c>
      <c r="U73" s="116">
        <f>G73*0.05</f>
        <v>0</v>
      </c>
      <c r="V73" s="116">
        <f>G73*0.05</f>
        <v>0</v>
      </c>
    </row>
    <row r="74" spans="7:23" ht="12.75">
      <c r="G74" s="116">
        <f t="shared" si="15"/>
        <v>0</v>
      </c>
      <c r="U74" s="116">
        <f>G74*0.9</f>
        <v>0</v>
      </c>
      <c r="V74" s="116">
        <f>G74*0.05</f>
        <v>0</v>
      </c>
      <c r="W74" s="116">
        <f>G74*0.05</f>
        <v>0</v>
      </c>
    </row>
    <row r="75" spans="7:24" ht="12.75">
      <c r="G75" s="116">
        <f t="shared" si="15"/>
        <v>0</v>
      </c>
      <c r="V75" s="116">
        <f>G75*0.9</f>
        <v>0</v>
      </c>
      <c r="W75" s="116">
        <f>G75*0.05</f>
        <v>0</v>
      </c>
      <c r="X75" s="116">
        <f>G75*0.05</f>
        <v>0</v>
      </c>
    </row>
    <row r="76" spans="7:25" ht="12.75">
      <c r="G76" s="116">
        <f t="shared" si="15"/>
        <v>0</v>
      </c>
      <c r="W76" s="116">
        <f>G76*0.9</f>
        <v>0</v>
      </c>
      <c r="X76" s="116">
        <f>G76*0.05</f>
        <v>0</v>
      </c>
      <c r="Y76" s="116">
        <f>G76*0.05</f>
        <v>0</v>
      </c>
    </row>
    <row r="77" spans="7:26" ht="12.75">
      <c r="G77" s="116">
        <f t="shared" si="15"/>
        <v>0</v>
      </c>
      <c r="X77" s="116">
        <f>G77*0.9</f>
        <v>0</v>
      </c>
      <c r="Y77" s="116">
        <f>G77*0.05</f>
        <v>0</v>
      </c>
      <c r="Z77" s="116">
        <f>G77*0.05</f>
        <v>0</v>
      </c>
    </row>
    <row r="78" spans="7:27" ht="12.75">
      <c r="G78" s="116">
        <f t="shared" si="15"/>
        <v>0</v>
      </c>
      <c r="Y78" s="116">
        <f>G78*0.9</f>
        <v>0</v>
      </c>
      <c r="Z78" s="116">
        <f>G78*0.05</f>
        <v>0</v>
      </c>
      <c r="AA78" s="116">
        <f>G78*0.05</f>
        <v>0</v>
      </c>
    </row>
    <row r="79" spans="7:28" ht="12.75">
      <c r="G79" s="116">
        <f t="shared" si="15"/>
        <v>0</v>
      </c>
      <c r="Z79" s="116">
        <f>G79*0.9</f>
        <v>0</v>
      </c>
      <c r="AA79" s="116">
        <f>G79*0.05</f>
        <v>0</v>
      </c>
      <c r="AB79" s="116">
        <f>G79*0.05</f>
        <v>0</v>
      </c>
    </row>
    <row r="80" spans="7:29" ht="12.75">
      <c r="G80" s="116">
        <f t="shared" si="15"/>
        <v>0</v>
      </c>
      <c r="AA80" s="116">
        <f>G80*0.9</f>
        <v>0</v>
      </c>
      <c r="AB80" s="116">
        <f>G80*0.05</f>
        <v>0</v>
      </c>
      <c r="AC80" s="116">
        <f>G80*0.05</f>
        <v>0</v>
      </c>
    </row>
    <row r="81" spans="7:30" ht="12.75">
      <c r="G81" s="116">
        <f t="shared" si="15"/>
        <v>0</v>
      </c>
      <c r="AB81" s="116">
        <f>G81*0.9</f>
        <v>0</v>
      </c>
      <c r="AC81" s="116">
        <f>G81*0.05</f>
        <v>0</v>
      </c>
      <c r="AD81" s="116">
        <f>G81*0.05</f>
        <v>0</v>
      </c>
    </row>
    <row r="82" spans="7:31" ht="12.75">
      <c r="G82" s="116">
        <f t="shared" si="15"/>
        <v>0</v>
      </c>
      <c r="AC82" s="116">
        <f>G82*0.9</f>
        <v>0</v>
      </c>
      <c r="AD82" s="116">
        <f>G82*0.05</f>
        <v>0</v>
      </c>
      <c r="AE82" s="116">
        <f>G82*0.05</f>
        <v>0</v>
      </c>
    </row>
    <row r="83" spans="7:32" ht="12.75">
      <c r="G83" s="116">
        <f t="shared" si="15"/>
        <v>0</v>
      </c>
      <c r="AD83" s="116">
        <f>G83*0.9</f>
        <v>0</v>
      </c>
      <c r="AE83" s="116">
        <f>G83*0.05</f>
        <v>0</v>
      </c>
      <c r="AF83" s="116">
        <f>G83*0.05</f>
        <v>0</v>
      </c>
    </row>
    <row r="84" spans="7:33" ht="12.75">
      <c r="G84" s="116">
        <f t="shared" si="15"/>
        <v>0</v>
      </c>
      <c r="AE84" s="116">
        <f>G84*0.9</f>
        <v>0</v>
      </c>
      <c r="AF84" s="116">
        <f>G84*0.05</f>
        <v>0</v>
      </c>
      <c r="AG84" s="116">
        <f>G84*0.05</f>
        <v>0</v>
      </c>
    </row>
    <row r="85" spans="7:34" ht="12.75">
      <c r="G85" s="116">
        <f t="shared" si="15"/>
        <v>0</v>
      </c>
      <c r="AF85" s="116">
        <f>G85*0.9</f>
        <v>0</v>
      </c>
      <c r="AG85" s="116">
        <f>G85*0.05</f>
        <v>0</v>
      </c>
      <c r="AH85" s="116">
        <f>G85*0.05</f>
        <v>0</v>
      </c>
    </row>
    <row r="86" spans="7:35" ht="12.75">
      <c r="G86" s="116">
        <f t="shared" si="15"/>
        <v>0</v>
      </c>
      <c r="AG86" s="116">
        <f>G86*0.9</f>
        <v>0</v>
      </c>
      <c r="AH86" s="116">
        <f>G86*0.05</f>
        <v>0</v>
      </c>
      <c r="AI86" s="116">
        <f>G86*0.05</f>
        <v>0</v>
      </c>
    </row>
    <row r="87" spans="7:36" ht="12.75">
      <c r="G87" s="116">
        <f t="shared" si="15"/>
        <v>0</v>
      </c>
      <c r="AH87" s="116">
        <f>G87*0.9</f>
        <v>0</v>
      </c>
      <c r="AI87" s="116">
        <f>G87*0.05</f>
        <v>0</v>
      </c>
      <c r="AJ87" s="116">
        <f>G87*0.05</f>
        <v>0</v>
      </c>
    </row>
    <row r="88" spans="7:37" ht="12.75">
      <c r="G88" s="116">
        <f t="shared" si="15"/>
        <v>0</v>
      </c>
      <c r="AI88" s="116">
        <f>G88*0.9</f>
        <v>0</v>
      </c>
      <c r="AJ88" s="116">
        <f>G88*0.05</f>
        <v>0</v>
      </c>
      <c r="AK88" s="116">
        <f>G88*0.05</f>
        <v>0</v>
      </c>
    </row>
    <row r="89" spans="7:38" ht="12.75">
      <c r="G89" s="116">
        <f t="shared" si="15"/>
        <v>0</v>
      </c>
      <c r="AJ89" s="116">
        <f>G89*0.9</f>
        <v>0</v>
      </c>
      <c r="AK89" s="116">
        <f>G89*0.05</f>
        <v>0</v>
      </c>
      <c r="AL89" s="116">
        <f>G89*0.05</f>
        <v>0</v>
      </c>
    </row>
    <row r="90" spans="7:39" ht="12.75">
      <c r="G90" s="116">
        <f t="shared" si="15"/>
        <v>0</v>
      </c>
      <c r="AK90" s="116">
        <f>G90*0.9</f>
        <v>0</v>
      </c>
      <c r="AL90" s="116">
        <f>G90*0.05</f>
        <v>0</v>
      </c>
      <c r="AM90" s="116">
        <f>G90*0.05</f>
        <v>0</v>
      </c>
    </row>
    <row r="91" spans="7:40" ht="12.75">
      <c r="G91" s="116">
        <f t="shared" si="15"/>
        <v>0</v>
      </c>
      <c r="AL91" s="116">
        <f>G91*0.9</f>
        <v>0</v>
      </c>
      <c r="AM91" s="116">
        <f>G91*0.05</f>
        <v>0</v>
      </c>
      <c r="AN91" s="116">
        <f>G91*0.05</f>
        <v>0</v>
      </c>
    </row>
    <row r="92" spans="7:41" ht="12.75">
      <c r="G92" s="116">
        <f t="shared" si="15"/>
        <v>0</v>
      </c>
      <c r="AM92" s="116">
        <f>G92*0.9</f>
        <v>0</v>
      </c>
      <c r="AN92" s="116">
        <f>G92*0.05</f>
        <v>0</v>
      </c>
      <c r="AO92" s="116">
        <f>G92*0.05</f>
        <v>0</v>
      </c>
    </row>
    <row r="93" spans="7:42" ht="12.75">
      <c r="G93" s="116">
        <f t="shared" si="15"/>
        <v>0</v>
      </c>
      <c r="AN93" s="116">
        <f>G93*0.9</f>
        <v>0</v>
      </c>
      <c r="AO93" s="116">
        <f>G93*0.05</f>
        <v>0</v>
      </c>
      <c r="AP93" s="116">
        <f>G93*0.05</f>
        <v>0</v>
      </c>
    </row>
    <row r="94" spans="7:43" ht="12.75">
      <c r="G94" s="116">
        <f t="shared" si="15"/>
        <v>0</v>
      </c>
      <c r="AO94" s="116">
        <f>G94*0.9</f>
        <v>0</v>
      </c>
      <c r="AP94" s="116">
        <f>G94*0.05</f>
        <v>0</v>
      </c>
      <c r="AQ94" s="116">
        <f>G94*0.05</f>
        <v>0</v>
      </c>
    </row>
    <row r="95" spans="7:44" ht="12.75">
      <c r="G95" s="116">
        <f t="shared" si="15"/>
        <v>0</v>
      </c>
      <c r="AP95" s="116">
        <f>G95*0.9</f>
        <v>0</v>
      </c>
      <c r="AQ95" s="116">
        <f>G95*0.05</f>
        <v>0</v>
      </c>
      <c r="AR95" s="116">
        <f>G95*0.05</f>
        <v>0</v>
      </c>
    </row>
    <row r="96" spans="7:45" ht="12.75">
      <c r="G96" s="116">
        <f t="shared" si="15"/>
        <v>0</v>
      </c>
      <c r="AQ96" s="116">
        <f>G96*0.9</f>
        <v>0</v>
      </c>
      <c r="AR96" s="116">
        <f>G96*0.05</f>
        <v>0</v>
      </c>
      <c r="AS96" s="116">
        <f>G96*0.05</f>
        <v>0</v>
      </c>
    </row>
    <row r="97" spans="7:45" ht="13.5" thickBot="1">
      <c r="G97" s="152">
        <f aca="true" t="shared" si="16" ref="G97:AE97">SUM(G61:G96)</f>
        <v>0</v>
      </c>
      <c r="H97" s="135">
        <f t="shared" si="16"/>
        <v>0</v>
      </c>
      <c r="I97" s="135">
        <f t="shared" si="16"/>
        <v>0</v>
      </c>
      <c r="J97" s="135">
        <f t="shared" si="16"/>
        <v>0</v>
      </c>
      <c r="K97" s="135">
        <f t="shared" si="16"/>
        <v>0</v>
      </c>
      <c r="L97" s="135">
        <f t="shared" si="16"/>
        <v>0</v>
      </c>
      <c r="M97" s="135">
        <f t="shared" si="16"/>
        <v>0</v>
      </c>
      <c r="N97" s="135">
        <f t="shared" si="16"/>
        <v>0</v>
      </c>
      <c r="O97" s="135">
        <f t="shared" si="16"/>
        <v>0</v>
      </c>
      <c r="P97" s="135">
        <f t="shared" si="16"/>
        <v>0</v>
      </c>
      <c r="Q97" s="135">
        <f t="shared" si="16"/>
        <v>0</v>
      </c>
      <c r="R97" s="135">
        <f t="shared" si="16"/>
        <v>0</v>
      </c>
      <c r="S97" s="135">
        <f t="shared" si="16"/>
        <v>0</v>
      </c>
      <c r="T97" s="135">
        <f t="shared" si="16"/>
        <v>0</v>
      </c>
      <c r="U97" s="135">
        <f t="shared" si="16"/>
        <v>0</v>
      </c>
      <c r="V97" s="135">
        <f t="shared" si="16"/>
        <v>0</v>
      </c>
      <c r="W97" s="135">
        <f t="shared" si="16"/>
        <v>0</v>
      </c>
      <c r="X97" s="135">
        <f t="shared" si="16"/>
        <v>0</v>
      </c>
      <c r="Y97" s="135">
        <f t="shared" si="16"/>
        <v>0</v>
      </c>
      <c r="Z97" s="135">
        <f t="shared" si="16"/>
        <v>0</v>
      </c>
      <c r="AA97" s="135">
        <f t="shared" si="16"/>
        <v>0</v>
      </c>
      <c r="AB97" s="135">
        <f t="shared" si="16"/>
        <v>0</v>
      </c>
      <c r="AC97" s="135">
        <f t="shared" si="16"/>
        <v>0</v>
      </c>
      <c r="AD97" s="135">
        <f t="shared" si="16"/>
        <v>0</v>
      </c>
      <c r="AE97" s="135">
        <f t="shared" si="16"/>
        <v>0</v>
      </c>
      <c r="AF97" s="135">
        <f aca="true" t="shared" si="17" ref="AF97:AS97">SUM(AF61:AF96)</f>
        <v>0</v>
      </c>
      <c r="AG97" s="135">
        <f t="shared" si="17"/>
        <v>0</v>
      </c>
      <c r="AH97" s="135">
        <f t="shared" si="17"/>
        <v>0</v>
      </c>
      <c r="AI97" s="135">
        <f t="shared" si="17"/>
        <v>0</v>
      </c>
      <c r="AJ97" s="135">
        <f t="shared" si="17"/>
        <v>0</v>
      </c>
      <c r="AK97" s="135">
        <f t="shared" si="17"/>
        <v>0</v>
      </c>
      <c r="AL97" s="135">
        <f t="shared" si="17"/>
        <v>0</v>
      </c>
      <c r="AM97" s="135">
        <f t="shared" si="17"/>
        <v>0</v>
      </c>
      <c r="AN97" s="135">
        <f t="shared" si="17"/>
        <v>0</v>
      </c>
      <c r="AO97" s="135">
        <f t="shared" si="17"/>
        <v>0</v>
      </c>
      <c r="AP97" s="135">
        <f t="shared" si="17"/>
        <v>0</v>
      </c>
      <c r="AQ97" s="135">
        <f t="shared" si="17"/>
        <v>0</v>
      </c>
      <c r="AR97" s="135">
        <f t="shared" si="17"/>
        <v>0</v>
      </c>
      <c r="AS97" s="135">
        <f t="shared" si="17"/>
        <v>0</v>
      </c>
    </row>
    <row r="98" ht="13.5" thickTop="1"/>
  </sheetData>
  <sheetProtection password="C7CE" sheet="1" objects="1" scenarios="1" selectLockedCells="1" selectUnlockedCells="1"/>
  <printOptions/>
  <pageMargins left="0.75" right="0.75" top="1.25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0"/>
  <sheetViews>
    <sheetView zoomScale="75" zoomScaleNormal="75" zoomScalePageLayoutView="0" workbookViewId="0" topLeftCell="A28">
      <selection activeCell="G70" sqref="G70"/>
    </sheetView>
  </sheetViews>
  <sheetFormatPr defaultColWidth="9.140625" defaultRowHeight="12.75"/>
  <cols>
    <col min="1" max="1" width="2.7109375" style="155" customWidth="1"/>
    <col min="2" max="2" width="12.28125" style="155" customWidth="1"/>
    <col min="3" max="3" width="13.140625" style="155" customWidth="1"/>
    <col min="4" max="4" width="11.8515625" style="155" customWidth="1"/>
    <col min="5" max="6" width="11.421875" style="155" customWidth="1"/>
    <col min="7" max="7" width="11.8515625" style="155" customWidth="1"/>
    <col min="8" max="8" width="12.57421875" style="155" customWidth="1"/>
    <col min="9" max="9" width="12.7109375" style="155" customWidth="1"/>
    <col min="10" max="10" width="11.8515625" style="155" customWidth="1"/>
    <col min="11" max="11" width="11.421875" style="155" customWidth="1"/>
    <col min="12" max="12" width="13.140625" style="155" customWidth="1"/>
    <col min="13" max="13" width="11.7109375" style="155" customWidth="1"/>
    <col min="14" max="14" width="12.7109375" style="155" customWidth="1"/>
    <col min="15" max="15" width="15.421875" style="155" customWidth="1"/>
    <col min="16" max="16" width="11.8515625" style="155" customWidth="1"/>
    <col min="17" max="17" width="12.57421875" style="155" customWidth="1"/>
    <col min="18" max="18" width="13.140625" style="155" customWidth="1"/>
    <col min="19" max="19" width="13.28125" style="155" customWidth="1"/>
    <col min="20" max="20" width="12.7109375" style="155" customWidth="1"/>
    <col min="21" max="21" width="12.140625" style="155" customWidth="1"/>
    <col min="22" max="22" width="11.57421875" style="155" customWidth="1"/>
    <col min="23" max="23" width="11.8515625" style="155" customWidth="1"/>
    <col min="24" max="24" width="11.7109375" style="155" customWidth="1"/>
    <col min="25" max="25" width="12.421875" style="155" customWidth="1"/>
    <col min="26" max="26" width="12.8515625" style="155" customWidth="1"/>
    <col min="27" max="27" width="13.00390625" style="155" customWidth="1"/>
    <col min="28" max="28" width="12.28125" style="155" customWidth="1"/>
    <col min="29" max="29" width="13.8515625" style="155" customWidth="1"/>
    <col min="30" max="30" width="12.7109375" style="155" customWidth="1"/>
    <col min="31" max="31" width="11.57421875" style="155" customWidth="1"/>
    <col min="32" max="32" width="12.8515625" style="155" customWidth="1"/>
    <col min="33" max="33" width="13.421875" style="155" customWidth="1"/>
    <col min="34" max="34" width="13.140625" style="155" customWidth="1"/>
    <col min="35" max="35" width="13.28125" style="155" customWidth="1"/>
    <col min="36" max="36" width="12.7109375" style="155" customWidth="1"/>
    <col min="37" max="37" width="11.7109375" style="155" customWidth="1"/>
    <col min="38" max="38" width="12.57421875" style="155" customWidth="1"/>
    <col min="39" max="39" width="13.421875" style="155" customWidth="1"/>
    <col min="40" max="40" width="8.140625" style="155" customWidth="1"/>
    <col min="41" max="41" width="6.421875" style="155" customWidth="1"/>
    <col min="42" max="42" width="12.8515625" style="155" customWidth="1"/>
    <col min="43" max="45" width="6.421875" style="155" customWidth="1"/>
    <col min="46" max="46" width="9.28125" style="155" customWidth="1"/>
    <col min="47" max="51" width="6.421875" style="155" customWidth="1"/>
    <col min="52" max="52" width="8.57421875" style="155" customWidth="1"/>
    <col min="53" max="53" width="12.421875" style="155" customWidth="1"/>
    <col min="54" max="54" width="2.7109375" style="155" customWidth="1"/>
    <col min="55" max="16384" width="9.140625" style="155" customWidth="1"/>
  </cols>
  <sheetData>
    <row r="1" spans="1:54" ht="30" customHeight="1">
      <c r="A1" s="153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54"/>
      <c r="BB1" s="153"/>
    </row>
    <row r="2" spans="1:54" ht="21.75" customHeight="1" thickBot="1">
      <c r="A2" s="156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57"/>
      <c r="BB2" s="156"/>
    </row>
    <row r="3" spans="1:54" ht="14.25">
      <c r="A3" s="158"/>
      <c r="B3" s="159"/>
      <c r="C3" s="160"/>
      <c r="D3" s="160"/>
      <c r="E3" s="160"/>
      <c r="F3" s="160"/>
      <c r="G3" s="160"/>
      <c r="H3" s="160"/>
      <c r="I3" s="160"/>
      <c r="J3" s="16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59"/>
      <c r="BA3" s="159"/>
      <c r="BB3" s="162"/>
    </row>
    <row r="4" spans="1:54" ht="15">
      <c r="A4" s="163"/>
      <c r="B4" s="164"/>
      <c r="C4" s="165"/>
      <c r="D4" s="165"/>
      <c r="E4" s="165"/>
      <c r="F4" s="165"/>
      <c r="G4" s="165"/>
      <c r="H4" s="165"/>
      <c r="I4" s="165"/>
      <c r="J4" s="165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53"/>
      <c r="BA4" s="153"/>
      <c r="BB4" s="167"/>
    </row>
    <row r="5" spans="1:54" ht="15">
      <c r="A5" s="163"/>
      <c r="B5" s="164"/>
      <c r="C5" s="165"/>
      <c r="D5" s="165"/>
      <c r="E5" s="165"/>
      <c r="F5" s="165"/>
      <c r="G5" s="165"/>
      <c r="H5" s="165"/>
      <c r="I5" s="165"/>
      <c r="J5" s="16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53"/>
      <c r="BA5" s="153"/>
      <c r="BB5" s="167"/>
    </row>
    <row r="6" spans="1:54" ht="18">
      <c r="A6" s="163"/>
      <c r="B6" s="199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168"/>
      <c r="BB6" s="167"/>
    </row>
    <row r="7" spans="1:54" ht="12.75">
      <c r="A7" s="163"/>
      <c r="B7" s="169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70"/>
      <c r="BB7" s="167"/>
    </row>
    <row r="8" spans="1:54" ht="12.75">
      <c r="A8" s="163"/>
      <c r="B8" s="169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70"/>
      <c r="BB8" s="167"/>
    </row>
    <row r="9" spans="1:54" ht="12.75">
      <c r="A9" s="163"/>
      <c r="B9" s="169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71" t="s">
        <v>7</v>
      </c>
      <c r="BB9" s="167"/>
    </row>
    <row r="10" spans="1:54" ht="12.75">
      <c r="A10" s="163"/>
      <c r="B10" s="172" t="s">
        <v>142</v>
      </c>
      <c r="C10" s="173" t="s">
        <v>188</v>
      </c>
      <c r="D10" s="174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3" t="s">
        <v>189</v>
      </c>
      <c r="BA10" s="171" t="s">
        <v>190</v>
      </c>
      <c r="BB10" s="167"/>
    </row>
    <row r="11" spans="1:54" ht="12.75">
      <c r="A11" s="163"/>
      <c r="B11" s="172" t="s">
        <v>20</v>
      </c>
      <c r="C11" s="171" t="s">
        <v>143</v>
      </c>
      <c r="D11" s="176" t="s">
        <v>144</v>
      </c>
      <c r="E11" s="176" t="s">
        <v>145</v>
      </c>
      <c r="F11" s="176" t="s">
        <v>146</v>
      </c>
      <c r="G11" s="176" t="s">
        <v>147</v>
      </c>
      <c r="H11" s="176" t="s">
        <v>148</v>
      </c>
      <c r="I11" s="176" t="s">
        <v>149</v>
      </c>
      <c r="J11" s="176" t="s">
        <v>150</v>
      </c>
      <c r="K11" s="176" t="s">
        <v>151</v>
      </c>
      <c r="L11" s="176" t="s">
        <v>152</v>
      </c>
      <c r="M11" s="176" t="s">
        <v>153</v>
      </c>
      <c r="N11" s="176" t="s">
        <v>154</v>
      </c>
      <c r="O11" s="176" t="s">
        <v>155</v>
      </c>
      <c r="P11" s="176" t="s">
        <v>156</v>
      </c>
      <c r="Q11" s="176" t="s">
        <v>157</v>
      </c>
      <c r="R11" s="176" t="s">
        <v>158</v>
      </c>
      <c r="S11" s="176" t="s">
        <v>159</v>
      </c>
      <c r="T11" s="176" t="s">
        <v>160</v>
      </c>
      <c r="U11" s="176" t="s">
        <v>161</v>
      </c>
      <c r="V11" s="176" t="s">
        <v>162</v>
      </c>
      <c r="W11" s="176" t="s">
        <v>163</v>
      </c>
      <c r="X11" s="176" t="s">
        <v>164</v>
      </c>
      <c r="Y11" s="176" t="s">
        <v>165</v>
      </c>
      <c r="Z11" s="176" t="s">
        <v>166</v>
      </c>
      <c r="AA11" s="176" t="s">
        <v>167</v>
      </c>
      <c r="AB11" s="176" t="s">
        <v>168</v>
      </c>
      <c r="AC11" s="176" t="s">
        <v>169</v>
      </c>
      <c r="AD11" s="176" t="s">
        <v>170</v>
      </c>
      <c r="AE11" s="176" t="s">
        <v>171</v>
      </c>
      <c r="AF11" s="176" t="s">
        <v>172</v>
      </c>
      <c r="AG11" s="176" t="s">
        <v>173</v>
      </c>
      <c r="AH11" s="176" t="s">
        <v>174</v>
      </c>
      <c r="AI11" s="176" t="s">
        <v>175</v>
      </c>
      <c r="AJ11" s="176" t="s">
        <v>176</v>
      </c>
      <c r="AK11" s="176" t="s">
        <v>177</v>
      </c>
      <c r="AL11" s="176" t="s">
        <v>178</v>
      </c>
      <c r="AM11" s="176" t="s">
        <v>179</v>
      </c>
      <c r="AN11" s="176" t="s">
        <v>180</v>
      </c>
      <c r="AO11" s="176" t="s">
        <v>181</v>
      </c>
      <c r="AP11" s="176" t="s">
        <v>182</v>
      </c>
      <c r="AQ11" s="176" t="s">
        <v>183</v>
      </c>
      <c r="AR11" s="176" t="s">
        <v>184</v>
      </c>
      <c r="AS11" s="176" t="s">
        <v>185</v>
      </c>
      <c r="AT11" s="176" t="s">
        <v>186</v>
      </c>
      <c r="AU11" s="176" t="s">
        <v>187</v>
      </c>
      <c r="AV11" s="176" t="s">
        <v>191</v>
      </c>
      <c r="AW11" s="176" t="s">
        <v>192</v>
      </c>
      <c r="AX11" s="176" t="s">
        <v>193</v>
      </c>
      <c r="AY11" s="176" t="s">
        <v>194</v>
      </c>
      <c r="AZ11" s="172" t="s">
        <v>195</v>
      </c>
      <c r="BA11" s="171" t="s">
        <v>196</v>
      </c>
      <c r="BB11" s="167"/>
    </row>
    <row r="12" spans="1:55" ht="12.75">
      <c r="A12" s="163"/>
      <c r="B12" s="177" t="str">
        <f>'[1]Database'!A2</f>
        <v>Jan 2002</v>
      </c>
      <c r="C12" s="178">
        <f>'[1]Database'!B2</f>
        <v>186407.71875</v>
      </c>
      <c r="D12" s="178">
        <f>'[1]Database'!C2</f>
        <v>11895.3046875</v>
      </c>
      <c r="E12" s="178">
        <f>'[1]Database'!D2</f>
        <v>0</v>
      </c>
      <c r="F12" s="178">
        <f>'[1]Database'!E2</f>
        <v>0</v>
      </c>
      <c r="G12" s="178">
        <f>'[1]Database'!F2</f>
        <v>0</v>
      </c>
      <c r="H12" s="178">
        <f>'[1]Database'!G2</f>
        <v>0</v>
      </c>
      <c r="I12" s="178">
        <f>'[1]Database'!H2</f>
        <v>6943.93994140625</v>
      </c>
      <c r="J12" s="178">
        <f>'[1]Database'!I2</f>
        <v>6860.7841796875</v>
      </c>
      <c r="K12" s="178">
        <f>'[1]Database'!J2</f>
        <v>0</v>
      </c>
      <c r="L12" s="178">
        <f>'[1]Database'!K2</f>
        <v>7436.39990234375</v>
      </c>
      <c r="M12" s="178">
        <f>'[1]Database'!L2</f>
        <v>0</v>
      </c>
      <c r="N12" s="178">
        <f>'[1]Database'!M2</f>
        <v>0</v>
      </c>
      <c r="O12" s="178">
        <f>'[1]Database'!N2</f>
        <v>0</v>
      </c>
      <c r="P12" s="178">
        <f>'[1]Database'!O2</f>
        <v>0</v>
      </c>
      <c r="Q12" s="178">
        <f>'[1]Database'!P2</f>
        <v>0</v>
      </c>
      <c r="R12" s="178">
        <f>'[1]Database'!Q2</f>
        <v>0</v>
      </c>
      <c r="S12" s="178">
        <f>'[1]Database'!R2</f>
        <v>0</v>
      </c>
      <c r="T12" s="178">
        <f>'[1]Database'!S2</f>
        <v>0</v>
      </c>
      <c r="U12" s="178">
        <f>'[1]Database'!T2</f>
        <v>0</v>
      </c>
      <c r="V12" s="178">
        <f>'[1]Database'!U2</f>
        <v>-6623.60009765625</v>
      </c>
      <c r="W12" s="178">
        <f>'[1]Database'!V2</f>
        <v>0</v>
      </c>
      <c r="X12" s="178">
        <f>'[1]Database'!W2</f>
        <v>0</v>
      </c>
      <c r="Y12" s="178">
        <f>'[1]Database'!X2</f>
        <v>0</v>
      </c>
      <c r="Z12" s="178">
        <f>'[1]Database'!Y2</f>
        <v>0</v>
      </c>
      <c r="AA12" s="178">
        <f>'[1]Database'!Z2</f>
        <v>0</v>
      </c>
      <c r="AB12" s="178">
        <f>'[1]Database'!AA2</f>
        <v>0</v>
      </c>
      <c r="AC12" s="178">
        <f>'[1]Database'!AB2</f>
        <v>0</v>
      </c>
      <c r="AD12" s="178">
        <f>'[1]Database'!AC2</f>
        <v>0</v>
      </c>
      <c r="AE12" s="178">
        <f>'[1]Database'!AD2</f>
        <v>0</v>
      </c>
      <c r="AF12" s="178">
        <f>'[1]Database'!AE2</f>
        <v>0</v>
      </c>
      <c r="AG12" s="178">
        <f>'[1]Database'!AF2</f>
        <v>0</v>
      </c>
      <c r="AH12" s="178">
        <f>'[1]Database'!AG2</f>
        <v>0</v>
      </c>
      <c r="AI12" s="178">
        <f>'[1]Database'!AH2</f>
        <v>0</v>
      </c>
      <c r="AJ12" s="178">
        <f>'[1]Database'!AI2</f>
        <v>0</v>
      </c>
      <c r="AK12" s="178">
        <f>'[1]Database'!AJ2</f>
        <v>0</v>
      </c>
      <c r="AL12" s="178">
        <f>'[1]Database'!AK2</f>
        <v>0</v>
      </c>
      <c r="AM12" s="178">
        <f>'[1]Database'!AL2</f>
        <v>0</v>
      </c>
      <c r="AN12" s="178">
        <f>'[1]Database'!AM2</f>
        <v>0</v>
      </c>
      <c r="AO12" s="178">
        <f>'[1]Database'!AN2</f>
        <v>0</v>
      </c>
      <c r="AP12" s="178">
        <f>'[1]Database'!AO2</f>
        <v>0</v>
      </c>
      <c r="AQ12" s="178">
        <f>'[1]Database'!AP2</f>
        <v>0</v>
      </c>
      <c r="AR12" s="178">
        <f>'[1]Database'!AQ2</f>
        <v>0</v>
      </c>
      <c r="AS12" s="178">
        <f>'[1]Database'!AR2</f>
        <v>0</v>
      </c>
      <c r="AT12" s="178">
        <f>'[1]Database'!AS2</f>
        <v>0</v>
      </c>
      <c r="AU12" s="178">
        <f>'[1]Database'!AT2</f>
        <v>0</v>
      </c>
      <c r="AV12" s="178">
        <f>'[1]Database'!AU2</f>
        <v>0</v>
      </c>
      <c r="AW12" s="178">
        <f>'[1]Database'!AV2</f>
        <v>0</v>
      </c>
      <c r="AX12" s="178">
        <f>'[1]Database'!AW2</f>
        <v>0</v>
      </c>
      <c r="AY12" s="178">
        <f>'[1]Database'!AX2</f>
        <v>0</v>
      </c>
      <c r="AZ12" s="179">
        <f aca="true" t="shared" si="0" ref="AZ12:AZ59">IF(C12=0,0,+SUM(D12:AY12)/C12)</f>
        <v>0.14223031530598165</v>
      </c>
      <c r="BA12" s="180">
        <f aca="true" t="shared" si="1" ref="BA12:BA59">SUM(D12:AY12)</f>
        <v>26512.82861328125</v>
      </c>
      <c r="BB12" s="167"/>
      <c r="BC12" s="181"/>
    </row>
    <row r="13" spans="1:55" ht="12.75">
      <c r="A13" s="163"/>
      <c r="B13" s="177" t="str">
        <f>'[1]Database'!A3</f>
        <v>Feb 2002</v>
      </c>
      <c r="C13" s="178">
        <f>'[1]Database'!B3</f>
        <v>274323.53125</v>
      </c>
      <c r="D13" s="178">
        <f>'[1]Database'!C3</f>
        <v>6608.7197265625</v>
      </c>
      <c r="E13" s="178">
        <f>'[1]Database'!D3</f>
        <v>0</v>
      </c>
      <c r="F13" s="178">
        <f>'[1]Database'!E3</f>
        <v>0</v>
      </c>
      <c r="G13" s="178">
        <f>'[1]Database'!F3</f>
        <v>0</v>
      </c>
      <c r="H13" s="178">
        <f>'[1]Database'!G3</f>
        <v>0</v>
      </c>
      <c r="I13" s="178">
        <f>'[1]Database'!H3</f>
        <v>0</v>
      </c>
      <c r="J13" s="178">
        <f>'[1]Database'!I3</f>
        <v>0</v>
      </c>
      <c r="K13" s="178">
        <f>'[1]Database'!J3</f>
        <v>0</v>
      </c>
      <c r="L13" s="178">
        <f>'[1]Database'!K3</f>
        <v>0</v>
      </c>
      <c r="M13" s="178">
        <f>'[1]Database'!L3</f>
        <v>3045.159912109375</v>
      </c>
      <c r="N13" s="178">
        <f>'[1]Database'!M3</f>
        <v>7255.5400390625</v>
      </c>
      <c r="O13" s="178">
        <f>'[1]Database'!N3</f>
        <v>0</v>
      </c>
      <c r="P13" s="178">
        <f>'[1]Database'!O3</f>
        <v>5401.5400390625</v>
      </c>
      <c r="Q13" s="178">
        <f>'[1]Database'!P3</f>
        <v>12745.19921875</v>
      </c>
      <c r="R13" s="178">
        <f>'[1]Database'!Q3</f>
        <v>0</v>
      </c>
      <c r="S13" s="178">
        <f>'[1]Database'!R3</f>
        <v>0</v>
      </c>
      <c r="T13" s="178">
        <f>'[1]Database'!S3</f>
        <v>0</v>
      </c>
      <c r="U13" s="178">
        <f>'[1]Database'!T3</f>
        <v>0</v>
      </c>
      <c r="V13" s="178">
        <f>'[1]Database'!U3</f>
        <v>0</v>
      </c>
      <c r="W13" s="178">
        <f>'[1]Database'!V3</f>
        <v>6148.60986328125</v>
      </c>
      <c r="X13" s="178">
        <f>'[1]Database'!W3</f>
        <v>0</v>
      </c>
      <c r="Y13" s="178">
        <f>'[1]Database'!X3</f>
        <v>0</v>
      </c>
      <c r="Z13" s="178">
        <f>'[1]Database'!Y3</f>
        <v>4597.75</v>
      </c>
      <c r="AA13" s="178">
        <f>'[1]Database'!Z3</f>
        <v>0</v>
      </c>
      <c r="AB13" s="178">
        <f>'[1]Database'!AA3</f>
        <v>0</v>
      </c>
      <c r="AC13" s="178">
        <f>'[1]Database'!AB3</f>
        <v>0</v>
      </c>
      <c r="AD13" s="178">
        <f>'[1]Database'!AC3</f>
        <v>0</v>
      </c>
      <c r="AE13" s="178">
        <f>'[1]Database'!AD3</f>
        <v>0</v>
      </c>
      <c r="AF13" s="178">
        <f>'[1]Database'!AE3</f>
        <v>0</v>
      </c>
      <c r="AG13" s="178">
        <f>'[1]Database'!AF3</f>
        <v>0</v>
      </c>
      <c r="AH13" s="178">
        <f>'[1]Database'!AG3</f>
        <v>0</v>
      </c>
      <c r="AI13" s="178">
        <f>'[1]Database'!AH3</f>
        <v>0</v>
      </c>
      <c r="AJ13" s="178">
        <f>'[1]Database'!AI3</f>
        <v>0</v>
      </c>
      <c r="AK13" s="178">
        <f>'[1]Database'!AJ3</f>
        <v>0</v>
      </c>
      <c r="AL13" s="178">
        <f>'[1]Database'!AK3</f>
        <v>0</v>
      </c>
      <c r="AM13" s="178">
        <f>'[1]Database'!AL3</f>
        <v>0</v>
      </c>
      <c r="AN13" s="178">
        <f>'[1]Database'!AM3</f>
        <v>0</v>
      </c>
      <c r="AO13" s="178">
        <f>'[1]Database'!AN3</f>
        <v>0</v>
      </c>
      <c r="AP13" s="178">
        <f>'[1]Database'!AO3</f>
        <v>0</v>
      </c>
      <c r="AQ13" s="178">
        <f>'[1]Database'!AP3</f>
        <v>0</v>
      </c>
      <c r="AR13" s="178">
        <f>'[1]Database'!AQ3</f>
        <v>0</v>
      </c>
      <c r="AS13" s="178">
        <f>'[1]Database'!AR3</f>
        <v>0</v>
      </c>
      <c r="AT13" s="178">
        <f>'[1]Database'!AS3</f>
        <v>0</v>
      </c>
      <c r="AU13" s="178">
        <f>'[1]Database'!AT3</f>
        <v>0</v>
      </c>
      <c r="AV13" s="178">
        <f>'[1]Database'!AU3</f>
        <v>0</v>
      </c>
      <c r="AW13" s="178">
        <f>'[1]Database'!AV3</f>
        <v>0</v>
      </c>
      <c r="AX13" s="178">
        <f>'[1]Database'!AW3</f>
        <v>0</v>
      </c>
      <c r="AY13" s="178"/>
      <c r="AZ13" s="179">
        <f t="shared" si="0"/>
        <v>0.1669653295512837</v>
      </c>
      <c r="BA13" s="180">
        <f t="shared" si="1"/>
        <v>45802.518798828125</v>
      </c>
      <c r="BB13" s="167"/>
      <c r="BC13" s="181"/>
    </row>
    <row r="14" spans="1:55" ht="12.75">
      <c r="A14" s="163"/>
      <c r="B14" s="177" t="str">
        <f>'[1]Database'!A4</f>
        <v>Mar 2002</v>
      </c>
      <c r="C14" s="178">
        <f>'[1]Database'!B4</f>
        <v>1133856.25</v>
      </c>
      <c r="D14" s="178">
        <f>'[1]Database'!C4</f>
        <v>0</v>
      </c>
      <c r="E14" s="178">
        <f>'[1]Database'!D4</f>
        <v>0</v>
      </c>
      <c r="F14" s="178">
        <f>'[1]Database'!E4</f>
        <v>4742.64013671875</v>
      </c>
      <c r="G14" s="178">
        <f>'[1]Database'!F4</f>
        <v>0</v>
      </c>
      <c r="H14" s="178">
        <f>'[1]Database'!G4</f>
        <v>23426.33984375</v>
      </c>
      <c r="I14" s="178">
        <f>'[1]Database'!H4</f>
        <v>16329.55078125</v>
      </c>
      <c r="J14" s="178">
        <f>'[1]Database'!I4</f>
        <v>16098.759765625</v>
      </c>
      <c r="K14" s="178">
        <f>'[1]Database'!J4</f>
        <v>27013.51953125</v>
      </c>
      <c r="L14" s="178">
        <f>'[1]Database'!K4</f>
        <v>5889.2001953125</v>
      </c>
      <c r="M14" s="178">
        <f>'[1]Database'!L4</f>
        <v>15017.6298828125</v>
      </c>
      <c r="N14" s="178">
        <f>'[1]Database'!M4</f>
        <v>12447.7099609375</v>
      </c>
      <c r="O14" s="178">
        <f>'[1]Database'!N4</f>
        <v>20474.310546875</v>
      </c>
      <c r="P14" s="178">
        <f>'[1]Database'!O4</f>
        <v>6442.39990234375</v>
      </c>
      <c r="Q14" s="178">
        <f>'[1]Database'!P4</f>
        <v>0</v>
      </c>
      <c r="R14" s="178">
        <f>'[1]Database'!Q4</f>
        <v>3203.8798828125</v>
      </c>
      <c r="S14" s="178">
        <f>'[1]Database'!R4</f>
        <v>14642.3505859375</v>
      </c>
      <c r="T14" s="178">
        <f>'[1]Database'!S4</f>
        <v>948.830078125</v>
      </c>
      <c r="U14" s="178">
        <f>'[1]Database'!T4</f>
        <v>13441.1201171875</v>
      </c>
      <c r="V14" s="178">
        <f>'[1]Database'!U4</f>
        <v>2526.47998046875</v>
      </c>
      <c r="W14" s="178">
        <f>'[1]Database'!V4</f>
        <v>12066.73046875</v>
      </c>
      <c r="X14" s="178">
        <f>'[1]Database'!W4</f>
        <v>5368.240234375</v>
      </c>
      <c r="Y14" s="178">
        <f>'[1]Database'!X4</f>
        <v>6571.66015625</v>
      </c>
      <c r="Z14" s="178">
        <f>'[1]Database'!Y4</f>
        <v>4074.419921875</v>
      </c>
      <c r="AA14" s="178">
        <f>'[1]Database'!Z4</f>
        <v>250</v>
      </c>
      <c r="AB14" s="178">
        <f>'[1]Database'!AA4</f>
        <v>5537.2900390625</v>
      </c>
      <c r="AC14" s="178">
        <f>'[1]Database'!AB4</f>
        <v>0</v>
      </c>
      <c r="AD14" s="178">
        <f>'[1]Database'!AC4</f>
        <v>0</v>
      </c>
      <c r="AE14" s="178">
        <f>'[1]Database'!AD4</f>
        <v>0</v>
      </c>
      <c r="AF14" s="178">
        <f>'[1]Database'!AE4</f>
        <v>2455.860107421875</v>
      </c>
      <c r="AG14" s="178">
        <f>'[1]Database'!AF4</f>
        <v>2699.510009765625</v>
      </c>
      <c r="AH14" s="178">
        <f>'[1]Database'!AG4</f>
        <v>0</v>
      </c>
      <c r="AI14" s="178">
        <f>'[1]Database'!AH4</f>
        <v>1696.449951171875</v>
      </c>
      <c r="AJ14" s="178">
        <f>'[1]Database'!AI4</f>
        <v>0</v>
      </c>
      <c r="AK14" s="178">
        <f>'[1]Database'!AJ4</f>
        <v>0</v>
      </c>
      <c r="AL14" s="178">
        <f>'[1]Database'!AK4</f>
        <v>0</v>
      </c>
      <c r="AM14" s="178">
        <f>'[1]Database'!AL4</f>
        <v>166.42999267578125</v>
      </c>
      <c r="AN14" s="178">
        <f>'[1]Database'!AM4</f>
        <v>0</v>
      </c>
      <c r="AO14" s="178">
        <f>'[1]Database'!AN4</f>
        <v>0</v>
      </c>
      <c r="AP14" s="178">
        <f>'[1]Database'!AO4</f>
        <v>0</v>
      </c>
      <c r="AQ14" s="178">
        <f>'[1]Database'!AP4</f>
        <v>0</v>
      </c>
      <c r="AR14" s="178">
        <f>'[1]Database'!AQ4</f>
        <v>0</v>
      </c>
      <c r="AS14" s="178">
        <f>'[1]Database'!AR4</f>
        <v>0</v>
      </c>
      <c r="AT14" s="178">
        <f>'[1]Database'!AS4</f>
        <v>0</v>
      </c>
      <c r="AU14" s="178">
        <f>'[1]Database'!AT4</f>
        <v>0</v>
      </c>
      <c r="AV14" s="178">
        <f>'[1]Database'!AU4</f>
        <v>0</v>
      </c>
      <c r="AW14" s="178">
        <f>'[1]Database'!AV4</f>
        <v>0</v>
      </c>
      <c r="AX14" s="178"/>
      <c r="AY14" s="178"/>
      <c r="AZ14" s="179">
        <f t="shared" si="0"/>
        <v>0.1971425496598479</v>
      </c>
      <c r="BA14" s="180">
        <f t="shared" si="1"/>
        <v>223531.3120727539</v>
      </c>
      <c r="BB14" s="167"/>
      <c r="BC14" s="181"/>
    </row>
    <row r="15" spans="1:55" ht="12.75">
      <c r="A15" s="163"/>
      <c r="B15" s="177" t="str">
        <f>'[1]Database'!A5</f>
        <v>Apr 2002</v>
      </c>
      <c r="C15" s="178">
        <f>'[1]Database'!B5</f>
        <v>918995.5</v>
      </c>
      <c r="D15" s="178">
        <f>'[1]Database'!C5</f>
        <v>0</v>
      </c>
      <c r="E15" s="178">
        <f>'[1]Database'!D5</f>
        <v>2808.010009765625</v>
      </c>
      <c r="F15" s="178">
        <f>'[1]Database'!E5</f>
        <v>0</v>
      </c>
      <c r="G15" s="178">
        <f>'[1]Database'!F5</f>
        <v>2736.35009765625</v>
      </c>
      <c r="H15" s="178">
        <f>'[1]Database'!G5</f>
        <v>10693.4296875</v>
      </c>
      <c r="I15" s="178">
        <f>'[1]Database'!H5</f>
        <v>13572.740234375</v>
      </c>
      <c r="J15" s="178">
        <f>'[1]Database'!I5</f>
        <v>10671.0498046875</v>
      </c>
      <c r="K15" s="178">
        <f>'[1]Database'!J5</f>
        <v>0</v>
      </c>
      <c r="L15" s="178">
        <f>'[1]Database'!K5</f>
        <v>28416.21875</v>
      </c>
      <c r="M15" s="178">
        <f>'[1]Database'!L5</f>
        <v>0</v>
      </c>
      <c r="N15" s="178">
        <f>'[1]Database'!M5</f>
        <v>10596.4599609375</v>
      </c>
      <c r="O15" s="178">
        <f>'[1]Database'!N5</f>
        <v>7990.93017578125</v>
      </c>
      <c r="P15" s="178">
        <f>'[1]Database'!O5</f>
        <v>6385.47998046875</v>
      </c>
      <c r="Q15" s="178">
        <f>'[1]Database'!P5</f>
        <v>0</v>
      </c>
      <c r="R15" s="178">
        <f>'[1]Database'!Q5</f>
        <v>9775.9599609375</v>
      </c>
      <c r="S15" s="178">
        <f>'[1]Database'!R5</f>
        <v>2767.159912109375</v>
      </c>
      <c r="T15" s="178">
        <f>'[1]Database'!S5</f>
        <v>7035.64013671875</v>
      </c>
      <c r="U15" s="178">
        <f>'[1]Database'!T5</f>
        <v>0</v>
      </c>
      <c r="V15" s="178">
        <f>'[1]Database'!U5</f>
        <v>3146.050048828125</v>
      </c>
      <c r="W15" s="178">
        <f>'[1]Database'!V5</f>
        <v>4182.2001953125</v>
      </c>
      <c r="X15" s="178">
        <f>'[1]Database'!W5</f>
        <v>8841.55078125</v>
      </c>
      <c r="Y15" s="178">
        <f>'[1]Database'!X5</f>
        <v>0</v>
      </c>
      <c r="Z15" s="178">
        <f>'[1]Database'!Y5</f>
        <v>0</v>
      </c>
      <c r="AA15" s="178">
        <f>'[1]Database'!Z5</f>
        <v>3435.780029296875</v>
      </c>
      <c r="AB15" s="178">
        <f>'[1]Database'!AA5</f>
        <v>0</v>
      </c>
      <c r="AC15" s="178">
        <f>'[1]Database'!AB5</f>
        <v>2506.18994140625</v>
      </c>
      <c r="AD15" s="178">
        <f>'[1]Database'!AC5</f>
        <v>4277.7998046875</v>
      </c>
      <c r="AE15" s="178">
        <f>'[1]Database'!AD5</f>
        <v>7313.0302734375</v>
      </c>
      <c r="AF15" s="178">
        <f>'[1]Database'!AE5</f>
        <v>4094.6201171875</v>
      </c>
      <c r="AG15" s="178">
        <f>'[1]Database'!AF5</f>
        <v>0</v>
      </c>
      <c r="AH15" s="178">
        <f>'[1]Database'!AG5</f>
        <v>7254.1298828125</v>
      </c>
      <c r="AI15" s="178">
        <f>'[1]Database'!AH5</f>
        <v>0</v>
      </c>
      <c r="AJ15" s="178">
        <f>'[1]Database'!AI5</f>
        <v>0</v>
      </c>
      <c r="AK15" s="178">
        <v>0</v>
      </c>
      <c r="AL15" s="178">
        <f>'[1]Database'!AK5</f>
        <v>0</v>
      </c>
      <c r="AM15" s="178">
        <f>'[1]Database'!AL5</f>
        <v>0</v>
      </c>
      <c r="AN15" s="178">
        <f>'[1]Database'!AM5</f>
        <v>0</v>
      </c>
      <c r="AO15" s="178">
        <f>'[1]Database'!AN5</f>
        <v>0</v>
      </c>
      <c r="AP15" s="178">
        <f>'[1]Database'!AO5</f>
        <v>0</v>
      </c>
      <c r="AQ15" s="178">
        <f>'[1]Database'!AP5</f>
        <v>0</v>
      </c>
      <c r="AR15" s="178">
        <f>'[1]Database'!AQ5</f>
        <v>0</v>
      </c>
      <c r="AS15" s="178">
        <f>'[1]Database'!AR5</f>
        <v>0</v>
      </c>
      <c r="AT15" s="178">
        <f>'[1]Database'!AS5</f>
        <v>0</v>
      </c>
      <c r="AU15" s="178">
        <f>'[1]Database'!AT5</f>
        <v>0</v>
      </c>
      <c r="AV15" s="178">
        <f>'[1]Database'!AU5</f>
        <v>0</v>
      </c>
      <c r="AW15" s="178"/>
      <c r="AX15" s="178"/>
      <c r="AY15" s="178"/>
      <c r="AZ15" s="179">
        <f t="shared" si="0"/>
        <v>0.17247176921449153</v>
      </c>
      <c r="BA15" s="180">
        <f t="shared" si="1"/>
        <v>158500.77978515625</v>
      </c>
      <c r="BB15" s="167"/>
      <c r="BC15" s="181"/>
    </row>
    <row r="16" spans="1:55" ht="12.75">
      <c r="A16" s="163"/>
      <c r="B16" s="177" t="str">
        <f>'[1]Database'!A6</f>
        <v>May 2002</v>
      </c>
      <c r="C16" s="178">
        <f>'[1]Database'!B6</f>
        <v>875695.6875</v>
      </c>
      <c r="D16" s="178">
        <f>'[1]Database'!C6</f>
        <v>0</v>
      </c>
      <c r="E16" s="178">
        <f>'[1]Database'!D6</f>
        <v>5861.18017578125</v>
      </c>
      <c r="F16" s="178">
        <f>'[1]Database'!E6</f>
        <v>1344.1700439453125</v>
      </c>
      <c r="G16" s="178">
        <f>'[1]Database'!F6</f>
        <v>7229.7998046875</v>
      </c>
      <c r="H16" s="178">
        <f>'[1]Database'!G6</f>
        <v>9438.169921875</v>
      </c>
      <c r="I16" s="178">
        <f>'[1]Database'!H6</f>
        <v>8500.900390625</v>
      </c>
      <c r="J16" s="178">
        <f>'[1]Database'!I6</f>
        <v>7202.2998046875</v>
      </c>
      <c r="K16" s="178">
        <f>'[1]Database'!J6</f>
        <v>18533.73046875</v>
      </c>
      <c r="L16" s="178">
        <f>'[1]Database'!K6</f>
        <v>14911.48046875</v>
      </c>
      <c r="M16" s="178">
        <f>'[1]Database'!L6</f>
        <v>16560.05078125</v>
      </c>
      <c r="N16" s="178">
        <f>'[1]Database'!M6</f>
        <v>3761.5</v>
      </c>
      <c r="O16" s="178">
        <f>'[1]Database'!N6</f>
        <v>6410.4599609375</v>
      </c>
      <c r="P16" s="178">
        <f>'[1]Database'!O6</f>
        <v>18766.169921875</v>
      </c>
      <c r="Q16" s="178">
        <f>'[1]Database'!P6</f>
        <v>3259</v>
      </c>
      <c r="R16" s="178">
        <f>'[1]Database'!Q6</f>
        <v>0</v>
      </c>
      <c r="S16" s="178">
        <f>'[1]Database'!R6</f>
        <v>3217.330078125</v>
      </c>
      <c r="T16" s="178">
        <f>'[1]Database'!S6</f>
        <v>0</v>
      </c>
      <c r="U16" s="178">
        <f>'[1]Database'!T6</f>
        <v>5628.490234375</v>
      </c>
      <c r="V16" s="178">
        <f>'[1]Database'!U6</f>
        <v>0</v>
      </c>
      <c r="W16" s="178">
        <f>'[1]Database'!V6</f>
        <v>0</v>
      </c>
      <c r="X16" s="178">
        <f>'[1]Database'!W6</f>
        <v>3966.7900390625</v>
      </c>
      <c r="Y16" s="178">
        <f>'[1]Database'!X6</f>
        <v>3321.760009765625</v>
      </c>
      <c r="Z16" s="178">
        <f>'[1]Database'!Y6</f>
        <v>1653.77001953125</v>
      </c>
      <c r="AA16" s="178">
        <f>'[1]Database'!Z6</f>
        <v>0</v>
      </c>
      <c r="AB16" s="178">
        <f>'[1]Database'!AA6</f>
        <v>0</v>
      </c>
      <c r="AC16" s="178">
        <f>'[1]Database'!AB6</f>
        <v>4398</v>
      </c>
      <c r="AD16" s="178">
        <f>'[1]Database'!AC6</f>
        <v>0</v>
      </c>
      <c r="AE16" s="178">
        <f>'[1]Database'!AD6</f>
        <v>0</v>
      </c>
      <c r="AF16" s="178">
        <f>'[1]Database'!AE6</f>
        <v>3515.10986328125</v>
      </c>
      <c r="AG16" s="178">
        <f>'[1]Database'!AF6</f>
        <v>0</v>
      </c>
      <c r="AH16" s="178">
        <f>'[1]Database'!AG6</f>
        <v>0</v>
      </c>
      <c r="AI16" s="178">
        <f>'[1]Database'!AH6</f>
        <v>0</v>
      </c>
      <c r="AJ16" s="178">
        <f>'[1]Database'!AI6</f>
        <v>0</v>
      </c>
      <c r="AK16" s="178">
        <f>'[1]Database'!AJ6</f>
        <v>0</v>
      </c>
      <c r="AL16" s="178">
        <f>'[1]Database'!AK6</f>
        <v>0</v>
      </c>
      <c r="AM16" s="178">
        <f>'[1]Database'!AL6</f>
        <v>0</v>
      </c>
      <c r="AN16" s="178">
        <f>'[1]Database'!AM6</f>
        <v>0</v>
      </c>
      <c r="AO16" s="178">
        <f>'[1]Database'!AN6</f>
        <v>0</v>
      </c>
      <c r="AP16" s="178">
        <f>'[1]Database'!AO6</f>
        <v>0</v>
      </c>
      <c r="AQ16" s="178">
        <f>'[1]Database'!AP6</f>
        <v>0</v>
      </c>
      <c r="AR16" s="178">
        <f>'[1]Database'!AQ6</f>
        <v>0</v>
      </c>
      <c r="AS16" s="178">
        <f>'[1]Database'!AR6</f>
        <v>0</v>
      </c>
      <c r="AT16" s="178">
        <f>'[1]Database'!AS6</f>
        <v>0</v>
      </c>
      <c r="AU16" s="178">
        <f>'[1]Database'!AT6</f>
        <v>0</v>
      </c>
      <c r="AV16" s="178"/>
      <c r="AW16" s="178"/>
      <c r="AX16" s="178"/>
      <c r="AY16" s="178"/>
      <c r="AZ16" s="179">
        <f t="shared" si="0"/>
        <v>0.16841485471778653</v>
      </c>
      <c r="BA16" s="180">
        <f t="shared" si="1"/>
        <v>147480.1619873047</v>
      </c>
      <c r="BB16" s="167"/>
      <c r="BC16" s="181"/>
    </row>
    <row r="17" spans="1:55" ht="12.75">
      <c r="A17" s="163"/>
      <c r="B17" s="177" t="str">
        <f>'[1]Database'!A7</f>
        <v>Jun 2002</v>
      </c>
      <c r="C17" s="178">
        <f>'[1]Database'!B7</f>
        <v>865151.5625</v>
      </c>
      <c r="D17" s="178">
        <f>'[1]Database'!C7</f>
        <v>0</v>
      </c>
      <c r="E17" s="178">
        <f>'[1]Database'!D7</f>
        <v>10370.8046875</v>
      </c>
      <c r="F17" s="178">
        <f>'[1]Database'!E7</f>
        <v>3673.340087890625</v>
      </c>
      <c r="G17" s="178">
        <f>'[1]Database'!F7</f>
        <v>11649.51953125</v>
      </c>
      <c r="H17" s="178">
        <f>'[1]Database'!G7</f>
        <v>11340.349609375</v>
      </c>
      <c r="I17" s="178">
        <f>'[1]Database'!H7</f>
        <v>3704.990234375</v>
      </c>
      <c r="J17" s="178">
        <f>'[1]Database'!I7</f>
        <v>20801.48046875</v>
      </c>
      <c r="K17" s="178">
        <f>'[1]Database'!J7</f>
        <v>5997.35986328125</v>
      </c>
      <c r="L17" s="178">
        <f>'[1]Database'!K7</f>
        <v>16964.41015625</v>
      </c>
      <c r="M17" s="178">
        <f>'[1]Database'!L7</f>
        <v>48456.6875</v>
      </c>
      <c r="N17" s="178">
        <f>'[1]Database'!M7</f>
        <v>3890.590087890625</v>
      </c>
      <c r="O17" s="178">
        <f>'[1]Database'!N7</f>
        <v>9262.8603515625</v>
      </c>
      <c r="P17" s="178">
        <f>'[1]Database'!O7</f>
        <v>3022.360107421875</v>
      </c>
      <c r="Q17" s="178">
        <f>'[1]Database'!P7</f>
        <v>0</v>
      </c>
      <c r="R17" s="178">
        <f>'[1]Database'!Q7</f>
        <v>32269.830078125</v>
      </c>
      <c r="S17" s="178">
        <f>'[1]Database'!R7</f>
        <v>9368.080078125</v>
      </c>
      <c r="T17" s="178">
        <f>'[1]Database'!S7</f>
        <v>3276.68994140625</v>
      </c>
      <c r="U17" s="178">
        <f>'[1]Database'!T7</f>
        <v>4715.2998046875</v>
      </c>
      <c r="V17" s="178">
        <f>'[1]Database'!U7</f>
        <v>0</v>
      </c>
      <c r="W17" s="178">
        <f>'[1]Database'!V7</f>
        <v>0</v>
      </c>
      <c r="X17" s="178">
        <f>'[1]Database'!W7</f>
        <v>2690.320068359375</v>
      </c>
      <c r="Y17" s="178">
        <f>'[1]Database'!X7</f>
        <v>2485.760009765625</v>
      </c>
      <c r="Z17" s="178">
        <f>'[1]Database'!Y7</f>
        <v>19170.80078125</v>
      </c>
      <c r="AA17" s="178">
        <f>'[1]Database'!Z7</f>
        <v>0</v>
      </c>
      <c r="AB17" s="178">
        <f>'[1]Database'!AA7</f>
        <v>0</v>
      </c>
      <c r="AC17" s="178">
        <f>'[1]Database'!AB7</f>
        <v>773.8499755859375</v>
      </c>
      <c r="AD17" s="178">
        <f>'[1]Database'!AC7</f>
        <v>3033.7900390625</v>
      </c>
      <c r="AE17" s="178">
        <f>'[1]Database'!AD7</f>
        <v>0</v>
      </c>
      <c r="AF17" s="178">
        <f>'[1]Database'!AE7</f>
        <v>0</v>
      </c>
      <c r="AG17" s="178">
        <f>'[1]Database'!AF7</f>
        <v>2047.880126953125</v>
      </c>
      <c r="AH17" s="178">
        <f>'[1]Database'!AG7</f>
        <v>0</v>
      </c>
      <c r="AI17" s="178">
        <f>'[1]Database'!AH7</f>
        <v>0</v>
      </c>
      <c r="AJ17" s="178">
        <f>'[1]Database'!AI7</f>
        <v>0</v>
      </c>
      <c r="AK17" s="178">
        <f>'[1]Database'!AJ7</f>
        <v>0</v>
      </c>
      <c r="AL17" s="178">
        <f>'[1]Database'!AK7</f>
        <v>0</v>
      </c>
      <c r="AM17" s="178">
        <f>'[1]Database'!AL7</f>
        <v>0</v>
      </c>
      <c r="AN17" s="178">
        <f>'[1]Database'!AM7</f>
        <v>0</v>
      </c>
      <c r="AO17" s="178">
        <f>'[1]Database'!AN7</f>
        <v>0</v>
      </c>
      <c r="AP17" s="178">
        <f>'[1]Database'!AO7</f>
        <v>0</v>
      </c>
      <c r="AQ17" s="178">
        <f>'[1]Database'!AP7</f>
        <v>0</v>
      </c>
      <c r="AR17" s="178">
        <f>'[1]Database'!AQ7</f>
        <v>0</v>
      </c>
      <c r="AS17" s="178">
        <f>'[1]Database'!AR7</f>
        <v>0</v>
      </c>
      <c r="AT17" s="178">
        <f>'[1]Database'!AS7</f>
        <v>0</v>
      </c>
      <c r="AU17" s="178"/>
      <c r="AV17" s="178"/>
      <c r="AW17" s="178"/>
      <c r="AX17" s="178"/>
      <c r="AY17" s="178"/>
      <c r="AZ17" s="179">
        <f t="shared" si="0"/>
        <v>0.2646554239897905</v>
      </c>
      <c r="BA17" s="180">
        <f t="shared" si="1"/>
        <v>228967.0535888672</v>
      </c>
      <c r="BB17" s="167"/>
      <c r="BC17" s="181"/>
    </row>
    <row r="18" spans="1:55" ht="12.75">
      <c r="A18" s="163"/>
      <c r="B18" s="177" t="str">
        <f>'[1]Database'!A8</f>
        <v>Jul 2002</v>
      </c>
      <c r="C18" s="178">
        <f>'[1]Database'!B8</f>
        <v>701995.125</v>
      </c>
      <c r="D18" s="178">
        <f>'[1]Database'!C8</f>
        <v>0</v>
      </c>
      <c r="E18" s="178">
        <f>'[1]Database'!D8</f>
        <v>0</v>
      </c>
      <c r="F18" s="178">
        <f>'[1]Database'!E8</f>
        <v>0</v>
      </c>
      <c r="G18" s="178">
        <f>'[1]Database'!F8</f>
        <v>6331.02001953125</v>
      </c>
      <c r="H18" s="178">
        <f>'[1]Database'!G8</f>
        <v>17329.171875</v>
      </c>
      <c r="I18" s="178">
        <f>'[1]Database'!H8</f>
        <v>15768.390625</v>
      </c>
      <c r="J18" s="178">
        <f>'[1]Database'!I8</f>
        <v>4197.10986328125</v>
      </c>
      <c r="K18" s="178">
        <f>'[1]Database'!J8</f>
        <v>0</v>
      </c>
      <c r="L18" s="178">
        <f>'[1]Database'!K8</f>
        <v>6692</v>
      </c>
      <c r="M18" s="178">
        <f>'[1]Database'!L8</f>
        <v>0</v>
      </c>
      <c r="N18" s="178">
        <f>'[1]Database'!M8</f>
        <v>9179.58984375</v>
      </c>
      <c r="O18" s="178">
        <f>'[1]Database'!N8</f>
        <v>16064.509765625</v>
      </c>
      <c r="P18" s="178">
        <f>'[1]Database'!O8</f>
        <v>4309.16015625</v>
      </c>
      <c r="Q18" s="178">
        <f>'[1]Database'!P8</f>
        <v>0</v>
      </c>
      <c r="R18" s="178">
        <f>'[1]Database'!Q8</f>
        <v>5209.41015625</v>
      </c>
      <c r="S18" s="178">
        <f>'[1]Database'!R8</f>
        <v>11279.5302734375</v>
      </c>
      <c r="T18" s="178">
        <f>'[1]Database'!S8</f>
        <v>20883.6015625</v>
      </c>
      <c r="U18" s="178">
        <f>'[1]Database'!T8</f>
        <v>6943.06005859375</v>
      </c>
      <c r="V18" s="178">
        <f>'[1]Database'!U8</f>
        <v>4968.18994140625</v>
      </c>
      <c r="W18" s="178">
        <f>'[1]Database'!V8</f>
        <v>0</v>
      </c>
      <c r="X18" s="178">
        <f>'[1]Database'!W8</f>
        <v>4902.1201171875</v>
      </c>
      <c r="Y18" s="178">
        <f>'[1]Database'!X8</f>
        <v>3787.52001953125</v>
      </c>
      <c r="Z18" s="178">
        <f>'[1]Database'!Y8</f>
        <v>0</v>
      </c>
      <c r="AA18" s="178">
        <f>'[1]Database'!Z8</f>
        <v>0</v>
      </c>
      <c r="AB18" s="178">
        <f>'[1]Database'!AA8</f>
        <v>0</v>
      </c>
      <c r="AC18" s="178">
        <f>'[1]Database'!AB8</f>
        <v>0</v>
      </c>
      <c r="AD18" s="178">
        <f>'[1]Database'!AC8</f>
        <v>0</v>
      </c>
      <c r="AE18" s="178">
        <f>'[1]Database'!AD8</f>
        <v>0</v>
      </c>
      <c r="AF18" s="178">
        <f>'[1]Database'!AE8</f>
        <v>4368.2099609375</v>
      </c>
      <c r="AG18" s="178">
        <f>'[1]Database'!AF8</f>
        <v>958.8099975585938</v>
      </c>
      <c r="AH18" s="178">
        <f>'[1]Database'!AG8</f>
        <v>0</v>
      </c>
      <c r="AI18" s="178">
        <f>'[1]Database'!AH8</f>
        <v>2190.780029296875</v>
      </c>
      <c r="AJ18" s="178">
        <f>'[1]Database'!AI8</f>
        <v>0</v>
      </c>
      <c r="AK18" s="178">
        <f>'[1]Database'!AJ8</f>
        <v>0</v>
      </c>
      <c r="AL18" s="178">
        <f>'[1]Database'!AK8</f>
        <v>0</v>
      </c>
      <c r="AM18" s="178">
        <f>'[1]Database'!AL8</f>
        <v>0</v>
      </c>
      <c r="AN18" s="178">
        <f>'[1]Database'!AM8</f>
        <v>0</v>
      </c>
      <c r="AO18" s="178">
        <f>'[1]Database'!AN8</f>
        <v>0</v>
      </c>
      <c r="AP18" s="178">
        <f>'[1]Database'!AO8</f>
        <v>0</v>
      </c>
      <c r="AQ18" s="178">
        <f>'[1]Database'!AP8</f>
        <v>0</v>
      </c>
      <c r="AR18" s="178">
        <f>'[1]Database'!AQ8</f>
        <v>0</v>
      </c>
      <c r="AS18" s="178">
        <f>'[1]Database'!AR8</f>
        <v>0</v>
      </c>
      <c r="AT18" s="178"/>
      <c r="AU18" s="178"/>
      <c r="AV18" s="178"/>
      <c r="AW18" s="178"/>
      <c r="AX18" s="178"/>
      <c r="AY18" s="178"/>
      <c r="AZ18" s="179">
        <f t="shared" si="0"/>
        <v>0.20707007654096846</v>
      </c>
      <c r="BA18" s="180">
        <f t="shared" si="1"/>
        <v>145362.18426513672</v>
      </c>
      <c r="BB18" s="167"/>
      <c r="BC18" s="181"/>
    </row>
    <row r="19" spans="1:55" ht="12.75">
      <c r="A19" s="163"/>
      <c r="B19" s="177" t="str">
        <f>'[1]Database'!A9</f>
        <v>Aug 2002</v>
      </c>
      <c r="C19" s="178">
        <f>'[1]Database'!B9</f>
        <v>883495.6875</v>
      </c>
      <c r="D19" s="178">
        <f>'[1]Database'!C9</f>
        <v>0</v>
      </c>
      <c r="E19" s="178">
        <f>'[1]Database'!D9</f>
        <v>0</v>
      </c>
      <c r="F19" s="178">
        <f>'[1]Database'!E9</f>
        <v>0</v>
      </c>
      <c r="G19" s="178">
        <f>'[1]Database'!F9</f>
        <v>5447.58984375</v>
      </c>
      <c r="H19" s="178">
        <f>'[1]Database'!G9</f>
        <v>61957.19921875</v>
      </c>
      <c r="I19" s="178">
        <f>'[1]Database'!H9</f>
        <v>8659.3203125</v>
      </c>
      <c r="J19" s="178">
        <f>'[1]Database'!I9</f>
        <v>10043.5498046875</v>
      </c>
      <c r="K19" s="178">
        <f>'[1]Database'!J9</f>
        <v>6163.3203125</v>
      </c>
      <c r="L19" s="178">
        <f>'[1]Database'!K9</f>
        <v>19629.40234375</v>
      </c>
      <c r="M19" s="178">
        <f>'[1]Database'!L9</f>
        <v>4666.27978515625</v>
      </c>
      <c r="N19" s="178">
        <f>'[1]Database'!M9</f>
        <v>8455.369140625</v>
      </c>
      <c r="O19" s="178">
        <f>'[1]Database'!N9</f>
        <v>2601.919921875</v>
      </c>
      <c r="P19" s="178">
        <f>'[1]Database'!O9</f>
        <v>13419.94921875</v>
      </c>
      <c r="Q19" s="178">
        <f>'[1]Database'!P9</f>
        <v>11299.41015625</v>
      </c>
      <c r="R19" s="178">
        <f>'[1]Database'!Q9</f>
        <v>9658.580078125</v>
      </c>
      <c r="S19" s="178">
        <f>'[1]Database'!R9</f>
        <v>8191.60009765625</v>
      </c>
      <c r="T19" s="178">
        <f>'[1]Database'!S9</f>
        <v>17902.619140625</v>
      </c>
      <c r="U19" s="178">
        <f>'[1]Database'!T9</f>
        <v>11833.8203125</v>
      </c>
      <c r="V19" s="178">
        <f>'[1]Database'!U9</f>
        <v>5756.0498046875</v>
      </c>
      <c r="W19" s="178">
        <f>'[1]Database'!V9</f>
        <v>0</v>
      </c>
      <c r="X19" s="178">
        <f>'[1]Database'!W9</f>
        <v>2230.780029296875</v>
      </c>
      <c r="Y19" s="178">
        <f>'[1]Database'!X9</f>
        <v>0</v>
      </c>
      <c r="Z19" s="178">
        <f>'[1]Database'!Y9</f>
        <v>0</v>
      </c>
      <c r="AA19" s="178">
        <f>'[1]Database'!Z9</f>
        <v>5859.7197265625</v>
      </c>
      <c r="AB19" s="178">
        <f>'[1]Database'!AA9</f>
        <v>0</v>
      </c>
      <c r="AC19" s="178">
        <f>'[1]Database'!AB9</f>
        <v>0</v>
      </c>
      <c r="AD19" s="178">
        <f>'[1]Database'!AC9</f>
        <v>3129.329833984375</v>
      </c>
      <c r="AE19" s="178">
        <f>'[1]Database'!AD9</f>
        <v>8055.759765625</v>
      </c>
      <c r="AF19" s="178">
        <f>'[1]Database'!AE9</f>
        <v>0</v>
      </c>
      <c r="AG19" s="178">
        <f>'[1]Database'!AF9</f>
        <v>0</v>
      </c>
      <c r="AH19" s="178">
        <f>'[1]Database'!AG9</f>
        <v>0</v>
      </c>
      <c r="AI19" s="178">
        <f>'[1]Database'!AH9</f>
        <v>0</v>
      </c>
      <c r="AJ19" s="178">
        <f>'[1]Database'!AI9</f>
        <v>0</v>
      </c>
      <c r="AK19" s="178">
        <f>'[1]Database'!AJ9</f>
        <v>0</v>
      </c>
      <c r="AL19" s="178">
        <f>'[1]Database'!AK9</f>
        <v>0</v>
      </c>
      <c r="AM19" s="178">
        <f>'[1]Database'!AL9</f>
        <v>0</v>
      </c>
      <c r="AN19" s="178">
        <f>'[1]Database'!AM9</f>
        <v>0</v>
      </c>
      <c r="AO19" s="178">
        <f>'[1]Database'!AN9</f>
        <v>0</v>
      </c>
      <c r="AP19" s="178">
        <f>'[1]Database'!AO9</f>
        <v>0</v>
      </c>
      <c r="AQ19" s="178">
        <f>'[1]Database'!AP9</f>
        <v>0</v>
      </c>
      <c r="AR19" s="178">
        <f>'[1]Database'!AQ9</f>
        <v>0</v>
      </c>
      <c r="AS19" s="178"/>
      <c r="AT19" s="178"/>
      <c r="AU19" s="178"/>
      <c r="AV19" s="178"/>
      <c r="AW19" s="178"/>
      <c r="AX19" s="178"/>
      <c r="AY19" s="178"/>
      <c r="AZ19" s="179">
        <f t="shared" si="0"/>
        <v>0.2546266745050255</v>
      </c>
      <c r="BA19" s="180">
        <f t="shared" si="1"/>
        <v>224961.56884765625</v>
      </c>
      <c r="BB19" s="167"/>
      <c r="BC19" s="181"/>
    </row>
    <row r="20" spans="1:55" ht="12.75">
      <c r="A20" s="163"/>
      <c r="B20" s="177" t="str">
        <f>'[1]Database'!A10</f>
        <v>Sep 2002</v>
      </c>
      <c r="C20" s="178">
        <f>'[1]Database'!B10</f>
        <v>824639.875</v>
      </c>
      <c r="D20" s="178">
        <f>'[1]Database'!C10</f>
        <v>0</v>
      </c>
      <c r="E20" s="178">
        <f>'[1]Database'!D10</f>
        <v>0</v>
      </c>
      <c r="F20" s="178">
        <f>'[1]Database'!E10</f>
        <v>4988.14013671875</v>
      </c>
      <c r="G20" s="178">
        <f>'[1]Database'!F10</f>
        <v>15334.169921875</v>
      </c>
      <c r="H20" s="178">
        <f>'[1]Database'!G10</f>
        <v>0</v>
      </c>
      <c r="I20" s="178">
        <f>'[1]Database'!H10</f>
        <v>14311.630859375</v>
      </c>
      <c r="J20" s="178">
        <f>'[1]Database'!I10</f>
        <v>0</v>
      </c>
      <c r="K20" s="178">
        <f>'[1]Database'!J10</f>
        <v>0</v>
      </c>
      <c r="L20" s="178">
        <f>'[1]Database'!K10</f>
        <v>0</v>
      </c>
      <c r="M20" s="178">
        <f>'[1]Database'!L10</f>
        <v>3502.1201171875</v>
      </c>
      <c r="N20" s="178">
        <f>'[1]Database'!M10</f>
        <v>3613.27001953125</v>
      </c>
      <c r="O20" s="178">
        <f>'[1]Database'!N10</f>
        <v>6797.02978515625</v>
      </c>
      <c r="P20" s="178">
        <f>'[1]Database'!O10</f>
        <v>10673.240234375</v>
      </c>
      <c r="Q20" s="178">
        <f>'[1]Database'!P10</f>
        <v>19684.259765625</v>
      </c>
      <c r="R20" s="178">
        <f>'[1]Database'!Q10</f>
        <v>0</v>
      </c>
      <c r="S20" s="178">
        <f>'[1]Database'!R10</f>
        <v>0</v>
      </c>
      <c r="T20" s="178">
        <f>'[1]Database'!S10</f>
        <v>0</v>
      </c>
      <c r="U20" s="178">
        <f>'[1]Database'!T10</f>
        <v>6147.27978515625</v>
      </c>
      <c r="V20" s="178">
        <f>'[1]Database'!U10</f>
        <v>11786.76953125</v>
      </c>
      <c r="W20" s="178">
        <f>'[1]Database'!V10</f>
        <v>0</v>
      </c>
      <c r="X20" s="178">
        <f>'[1]Database'!W10</f>
        <v>1128.02001953125</v>
      </c>
      <c r="Y20" s="178">
        <f>'[1]Database'!X10</f>
        <v>3225.610107421875</v>
      </c>
      <c r="Z20" s="178">
        <f>'[1]Database'!Y10</f>
        <v>2611.6298828125</v>
      </c>
      <c r="AA20" s="178">
        <f>'[1]Database'!Z10</f>
        <v>0</v>
      </c>
      <c r="AB20" s="178">
        <f>'[1]Database'!AA10</f>
        <v>2270.97998046875</v>
      </c>
      <c r="AC20" s="178">
        <f>'[1]Database'!AB10</f>
        <v>3131.510009765625</v>
      </c>
      <c r="AD20" s="178">
        <f>'[1]Database'!AC10</f>
        <v>0</v>
      </c>
      <c r="AE20" s="178">
        <f>'[1]Database'!AD10</f>
        <v>4944.85009765625</v>
      </c>
      <c r="AF20" s="178">
        <f>'[1]Database'!AE10</f>
        <v>924.639892578125</v>
      </c>
      <c r="AG20" s="178">
        <f>'[1]Database'!AF10</f>
        <v>0</v>
      </c>
      <c r="AH20" s="178">
        <f>'[1]Database'!AG10</f>
        <v>0</v>
      </c>
      <c r="AI20" s="178">
        <f>'[1]Database'!AH10</f>
        <v>0</v>
      </c>
      <c r="AJ20" s="178">
        <f>'[1]Database'!AI10</f>
        <v>0</v>
      </c>
      <c r="AK20" s="178">
        <f>'[1]Database'!AJ10</f>
        <v>0</v>
      </c>
      <c r="AL20" s="178">
        <f>'[1]Database'!AK10</f>
        <v>0</v>
      </c>
      <c r="AM20" s="178">
        <f>'[1]Database'!AL10</f>
        <v>0</v>
      </c>
      <c r="AN20" s="178">
        <f>'[1]Database'!AM10</f>
        <v>0</v>
      </c>
      <c r="AO20" s="178">
        <f>'[1]Database'!AN10</f>
        <v>0</v>
      </c>
      <c r="AP20" s="178">
        <f>'[1]Database'!AO10</f>
        <v>0</v>
      </c>
      <c r="AQ20" s="178">
        <f>'[1]Database'!AP10</f>
        <v>0</v>
      </c>
      <c r="AR20" s="178"/>
      <c r="AS20" s="178"/>
      <c r="AT20" s="178"/>
      <c r="AU20" s="178"/>
      <c r="AV20" s="178"/>
      <c r="AW20" s="178"/>
      <c r="AX20" s="178"/>
      <c r="AY20" s="178"/>
      <c r="AZ20" s="179">
        <f t="shared" si="0"/>
        <v>0.13954594439965007</v>
      </c>
      <c r="BA20" s="180">
        <f t="shared" si="1"/>
        <v>115075.15014648438</v>
      </c>
      <c r="BB20" s="167"/>
      <c r="BC20" s="181"/>
    </row>
    <row r="21" spans="1:55" ht="12.75">
      <c r="A21" s="163"/>
      <c r="B21" s="177" t="str">
        <f>'[1]Database'!A11</f>
        <v>Oct 2002</v>
      </c>
      <c r="C21" s="178">
        <f>'[1]Database'!B11</f>
        <v>1670257.75</v>
      </c>
      <c r="D21" s="178">
        <f>'[1]Database'!C11</f>
        <v>0</v>
      </c>
      <c r="E21" s="178">
        <f>'[1]Database'!D11</f>
        <v>0</v>
      </c>
      <c r="F21" s="178">
        <f>'[1]Database'!E11</f>
        <v>25809.09765625</v>
      </c>
      <c r="G21" s="178">
        <f>'[1]Database'!F11</f>
        <v>58821.18359375</v>
      </c>
      <c r="H21" s="178">
        <f>'[1]Database'!G11</f>
        <v>9764.6201171875</v>
      </c>
      <c r="I21" s="178">
        <f>'[1]Database'!H11</f>
        <v>24608.080078125</v>
      </c>
      <c r="J21" s="178">
        <f>'[1]Database'!I11</f>
        <v>22525.15234375</v>
      </c>
      <c r="K21" s="178">
        <f>'[1]Database'!J11</f>
        <v>19924.30078125</v>
      </c>
      <c r="L21" s="178">
        <f>'[1]Database'!K11</f>
        <v>17952.109375</v>
      </c>
      <c r="M21" s="178">
        <f>'[1]Database'!L11</f>
        <v>17144.720703125</v>
      </c>
      <c r="N21" s="178">
        <f>'[1]Database'!M11</f>
        <v>22703.830078125</v>
      </c>
      <c r="O21" s="178">
        <f>'[1]Database'!N11</f>
        <v>28331.109375</v>
      </c>
      <c r="P21" s="178">
        <f>'[1]Database'!O11</f>
        <v>6855.169921875</v>
      </c>
      <c r="Q21" s="178">
        <f>'[1]Database'!P11</f>
        <v>11378</v>
      </c>
      <c r="R21" s="178">
        <f>'[1]Database'!Q11</f>
        <v>0</v>
      </c>
      <c r="S21" s="178">
        <f>'[1]Database'!R11</f>
        <v>9945.4296875</v>
      </c>
      <c r="T21" s="178">
        <f>'[1]Database'!S11</f>
        <v>13629.16015625</v>
      </c>
      <c r="U21" s="178">
        <f>'[1]Database'!T11</f>
        <v>5195.31005859375</v>
      </c>
      <c r="V21" s="178">
        <f>'[1]Database'!U11</f>
        <v>0</v>
      </c>
      <c r="W21" s="178">
        <f>'[1]Database'!V11</f>
        <v>2842.739990234375</v>
      </c>
      <c r="X21" s="178">
        <f>'[1]Database'!W11</f>
        <v>11405.2998046875</v>
      </c>
      <c r="Y21" s="178">
        <f>'[1]Database'!X11</f>
        <v>0</v>
      </c>
      <c r="Z21" s="178">
        <f>'[1]Database'!Y11</f>
        <v>0</v>
      </c>
      <c r="AA21" s="178">
        <f>'[1]Database'!Z11</f>
        <v>7051.5</v>
      </c>
      <c r="AB21" s="178">
        <f>'[1]Database'!AA11</f>
        <v>2456.860107421875</v>
      </c>
      <c r="AC21" s="178">
        <f>'[1]Database'!AB11</f>
        <v>0</v>
      </c>
      <c r="AD21" s="178">
        <f>'[1]Database'!AC11</f>
        <v>0</v>
      </c>
      <c r="AE21" s="178">
        <f>'[1]Database'!AD11</f>
        <v>0</v>
      </c>
      <c r="AF21" s="178">
        <f>'[1]Database'!AE11</f>
        <v>0</v>
      </c>
      <c r="AG21" s="178">
        <f>'[1]Database'!AF11</f>
        <v>0</v>
      </c>
      <c r="AH21" s="178">
        <f>'[1]Database'!AG11</f>
        <v>0</v>
      </c>
      <c r="AI21" s="178">
        <f>'[1]Database'!AH11</f>
        <v>0</v>
      </c>
      <c r="AJ21" s="178">
        <f>'[1]Database'!AI11</f>
        <v>0</v>
      </c>
      <c r="AK21" s="178">
        <f>'[1]Database'!AJ11</f>
        <v>0</v>
      </c>
      <c r="AL21" s="178">
        <f>'[1]Database'!AK11</f>
        <v>0</v>
      </c>
      <c r="AM21" s="178">
        <f>'[1]Database'!AL11</f>
        <v>0</v>
      </c>
      <c r="AN21" s="178">
        <f>'[1]Database'!AM11</f>
        <v>0</v>
      </c>
      <c r="AO21" s="178">
        <f>'[1]Database'!AN11</f>
        <v>0</v>
      </c>
      <c r="AP21" s="178">
        <f>'[1]Database'!AO11</f>
        <v>0</v>
      </c>
      <c r="AQ21" s="178"/>
      <c r="AR21" s="178"/>
      <c r="AS21" s="178"/>
      <c r="AT21" s="178"/>
      <c r="AU21" s="178"/>
      <c r="AV21" s="178"/>
      <c r="AW21" s="178"/>
      <c r="AX21" s="178"/>
      <c r="AY21" s="178"/>
      <c r="AZ21" s="179">
        <f t="shared" si="0"/>
        <v>0.1905955376217383</v>
      </c>
      <c r="BA21" s="180">
        <f t="shared" si="1"/>
        <v>318343.673828125</v>
      </c>
      <c r="BB21" s="167"/>
      <c r="BC21" s="181"/>
    </row>
    <row r="22" spans="1:55" ht="12.75">
      <c r="A22" s="163"/>
      <c r="B22" s="177" t="str">
        <f>'[1]Database'!A12</f>
        <v>Nov 2002</v>
      </c>
      <c r="C22" s="178">
        <f>'[1]Database'!B12</f>
        <v>1043780.8125</v>
      </c>
      <c r="D22" s="178">
        <f>'[1]Database'!C12</f>
        <v>1400</v>
      </c>
      <c r="E22" s="178">
        <f>'[1]Database'!D12</f>
        <v>5579.359375</v>
      </c>
      <c r="F22" s="178">
        <f>'[1]Database'!E12</f>
        <v>3529.51953125</v>
      </c>
      <c r="G22" s="178">
        <f>'[1]Database'!F12</f>
        <v>0</v>
      </c>
      <c r="H22" s="178">
        <f>'[1]Database'!G12</f>
        <v>12922.400390625</v>
      </c>
      <c r="I22" s="178">
        <f>'[1]Database'!H12</f>
        <v>7303.2900390625</v>
      </c>
      <c r="J22" s="178">
        <f>'[1]Database'!I12</f>
        <v>22198.458984375</v>
      </c>
      <c r="K22" s="178">
        <f>'[1]Database'!J12</f>
        <v>0</v>
      </c>
      <c r="L22" s="178">
        <f>'[1]Database'!K12</f>
        <v>8789.6904296875</v>
      </c>
      <c r="M22" s="178">
        <f>'[1]Database'!L12</f>
        <v>16526.380859375</v>
      </c>
      <c r="N22" s="178">
        <f>'[1]Database'!M12</f>
        <v>17085.779296875</v>
      </c>
      <c r="O22" s="178">
        <f>'[1]Database'!N12</f>
        <v>0</v>
      </c>
      <c r="P22" s="178">
        <f>'[1]Database'!O12</f>
        <v>6790.43994140625</v>
      </c>
      <c r="Q22" s="178">
        <f>'[1]Database'!P12</f>
        <v>0</v>
      </c>
      <c r="R22" s="178">
        <f>'[1]Database'!Q12</f>
        <v>11682.259765625</v>
      </c>
      <c r="S22" s="178">
        <f>'[1]Database'!R12</f>
        <v>21282.0703125</v>
      </c>
      <c r="T22" s="178">
        <f>'[1]Database'!S12</f>
        <v>4431.5</v>
      </c>
      <c r="U22" s="178">
        <f>'[1]Database'!T12</f>
        <v>800.2999877929688</v>
      </c>
      <c r="V22" s="178">
        <f>'[1]Database'!U12</f>
        <v>0</v>
      </c>
      <c r="W22" s="178">
        <f>'[1]Database'!V12</f>
        <v>116.16000366210938</v>
      </c>
      <c r="X22" s="178">
        <f>'[1]Database'!W12</f>
        <v>4351.25</v>
      </c>
      <c r="Y22" s="178">
        <f>'[1]Database'!X12</f>
        <v>4459.85009765625</v>
      </c>
      <c r="Z22" s="178">
        <f>'[1]Database'!Y12</f>
        <v>8278.75</v>
      </c>
      <c r="AA22" s="178">
        <f>'[1]Database'!Z12</f>
        <v>3087.5400390625</v>
      </c>
      <c r="AB22" s="178">
        <f>'[1]Database'!AA12</f>
        <v>7611.0498046875</v>
      </c>
      <c r="AC22" s="178">
        <f>'[1]Database'!AB12</f>
        <v>3417.239990234375</v>
      </c>
      <c r="AD22" s="178">
        <f>'[1]Database'!AC12</f>
        <v>0</v>
      </c>
      <c r="AE22" s="178">
        <f>'[1]Database'!AD12</f>
        <v>0</v>
      </c>
      <c r="AF22" s="178">
        <f>'[1]Database'!AE12</f>
        <v>0</v>
      </c>
      <c r="AG22" s="178">
        <f>'[1]Database'!AF12</f>
        <v>0</v>
      </c>
      <c r="AH22" s="178">
        <f>'[1]Database'!AG12</f>
        <v>0</v>
      </c>
      <c r="AI22" s="178">
        <f>'[1]Database'!AH12</f>
        <v>0</v>
      </c>
      <c r="AJ22" s="178">
        <f>'[1]Database'!AI12</f>
        <v>0</v>
      </c>
      <c r="AK22" s="178">
        <f>'[1]Database'!AJ12</f>
        <v>0</v>
      </c>
      <c r="AL22" s="178">
        <f>'[1]Database'!AK12</f>
        <v>0</v>
      </c>
      <c r="AM22" s="178">
        <f>'[1]Database'!AL12</f>
        <v>0</v>
      </c>
      <c r="AN22" s="178">
        <f>'[1]Database'!AM12</f>
        <v>0</v>
      </c>
      <c r="AO22" s="178">
        <f>'[1]Database'!AN12</f>
        <v>0</v>
      </c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>
        <f t="shared" si="0"/>
        <v>0.1644438054362845</v>
      </c>
      <c r="BA22" s="180">
        <f t="shared" si="1"/>
        <v>171643.28884887695</v>
      </c>
      <c r="BB22" s="167"/>
      <c r="BC22" s="181"/>
    </row>
    <row r="23" spans="1:55" ht="12.75">
      <c r="A23" s="163"/>
      <c r="B23" s="177" t="str">
        <f>'[1]Database'!A13</f>
        <v>Dec 2002</v>
      </c>
      <c r="C23" s="178">
        <f>'[1]Database'!B13</f>
        <v>1077391.25</v>
      </c>
      <c r="D23" s="178">
        <f>'[1]Database'!C13</f>
        <v>7292.9404296875</v>
      </c>
      <c r="E23" s="178">
        <f>'[1]Database'!D13</f>
        <v>13653</v>
      </c>
      <c r="F23" s="178">
        <f>'[1]Database'!E13</f>
        <v>0</v>
      </c>
      <c r="G23" s="178">
        <f>'[1]Database'!F13</f>
        <v>12088.009765625</v>
      </c>
      <c r="H23" s="178">
        <f>'[1]Database'!G13</f>
        <v>12368.9296875</v>
      </c>
      <c r="I23" s="178">
        <f>'[1]Database'!H13</f>
        <v>3168.47998046875</v>
      </c>
      <c r="J23" s="178">
        <f>'[1]Database'!I13</f>
        <v>8588.830078125</v>
      </c>
      <c r="K23" s="178">
        <f>'[1]Database'!J13</f>
        <v>14657.58984375</v>
      </c>
      <c r="L23" s="178">
        <f>'[1]Database'!K13</f>
        <v>6155.39990234375</v>
      </c>
      <c r="M23" s="178">
        <f>'[1]Database'!L13</f>
        <v>19519.580078125</v>
      </c>
      <c r="N23" s="178">
        <f>'[1]Database'!M13</f>
        <v>17333.71875</v>
      </c>
      <c r="O23" s="178">
        <f>'[1]Database'!N13</f>
        <v>6964.8701171875</v>
      </c>
      <c r="P23" s="178">
        <f>'[1]Database'!O13</f>
        <v>14440.75</v>
      </c>
      <c r="Q23" s="178">
        <f>'[1]Database'!P13</f>
        <v>0</v>
      </c>
      <c r="R23" s="178">
        <f>'[1]Database'!Q13</f>
        <v>2392.699951171875</v>
      </c>
      <c r="S23" s="178">
        <f>'[1]Database'!R13</f>
        <v>3876.93994140625</v>
      </c>
      <c r="T23" s="178">
        <f>'[1]Database'!S13</f>
        <v>0</v>
      </c>
      <c r="U23" s="178">
        <f>'[1]Database'!T13</f>
        <v>6807.8896484375</v>
      </c>
      <c r="V23" s="178">
        <f>'[1]Database'!U13</f>
        <v>3128.1298828125</v>
      </c>
      <c r="W23" s="178">
        <f>'[1]Database'!V13</f>
        <v>0</v>
      </c>
      <c r="X23" s="178">
        <f>'[1]Database'!W13</f>
        <v>3939.300048828125</v>
      </c>
      <c r="Y23" s="178">
        <f>'[1]Database'!X13</f>
        <v>0</v>
      </c>
      <c r="Z23" s="178">
        <f>'[1]Database'!Y13</f>
        <v>2001.6400146484375</v>
      </c>
      <c r="AA23" s="178">
        <f>'[1]Database'!Z13</f>
        <v>0</v>
      </c>
      <c r="AB23" s="178">
        <f>'[1]Database'!AA13</f>
        <v>4565.18994140625</v>
      </c>
      <c r="AC23" s="178">
        <f>'[1]Database'!AB13</f>
        <v>0</v>
      </c>
      <c r="AD23" s="178">
        <f>'[1]Database'!AC13</f>
        <v>0</v>
      </c>
      <c r="AE23" s="178">
        <f>'[1]Database'!AD13</f>
        <v>0</v>
      </c>
      <c r="AF23" s="178">
        <f>'[1]Database'!AE13</f>
        <v>0</v>
      </c>
      <c r="AG23" s="178">
        <f>'[1]Database'!AF13</f>
        <v>0</v>
      </c>
      <c r="AH23" s="178">
        <f>'[1]Database'!AG13</f>
        <v>0</v>
      </c>
      <c r="AI23" s="178">
        <f>'[1]Database'!AH13</f>
        <v>0</v>
      </c>
      <c r="AJ23" s="178">
        <f>'[1]Database'!AI13</f>
        <v>0</v>
      </c>
      <c r="AK23" s="178">
        <f>'[1]Database'!AJ13</f>
        <v>0</v>
      </c>
      <c r="AL23" s="178">
        <f>'[1]Database'!AK13</f>
        <v>0</v>
      </c>
      <c r="AM23" s="178">
        <f>'[1]Database'!AL13</f>
        <v>0</v>
      </c>
      <c r="AN23" s="178">
        <f>'[1]Database'!AM13</f>
        <v>0</v>
      </c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>
        <f t="shared" si="0"/>
        <v>0.1512392903335009</v>
      </c>
      <c r="BA23" s="180">
        <f t="shared" si="1"/>
        <v>162943.88806152344</v>
      </c>
      <c r="BB23" s="167"/>
      <c r="BC23" s="181"/>
    </row>
    <row r="24" spans="1:55" ht="12.75">
      <c r="A24" s="163"/>
      <c r="B24" s="177" t="str">
        <f>'[1]Database'!A14</f>
        <v>Jan 2003</v>
      </c>
      <c r="C24" s="178">
        <f>'[1]Database'!B14</f>
        <v>1871644.75</v>
      </c>
      <c r="D24" s="178">
        <f>'[1]Database'!C14</f>
        <v>1400</v>
      </c>
      <c r="E24" s="178">
        <f>'[1]Database'!D14</f>
        <v>3951.56005859375</v>
      </c>
      <c r="F24" s="178">
        <f>'[1]Database'!E14</f>
        <v>1400</v>
      </c>
      <c r="G24" s="178">
        <f>'[1]Database'!F14</f>
        <v>15354.75</v>
      </c>
      <c r="H24" s="178">
        <f>'[1]Database'!G14</f>
        <v>9590.98046875</v>
      </c>
      <c r="I24" s="178">
        <f>'[1]Database'!H14</f>
        <v>6480.5400390625</v>
      </c>
      <c r="J24" s="178">
        <f>'[1]Database'!I14</f>
        <v>13194.41015625</v>
      </c>
      <c r="K24" s="178">
        <f>'[1]Database'!J14</f>
        <v>6377.41015625</v>
      </c>
      <c r="L24" s="178">
        <f>'[1]Database'!K14</f>
        <v>32781.64453125</v>
      </c>
      <c r="M24" s="178">
        <f>'[1]Database'!L14</f>
        <v>37111.046875</v>
      </c>
      <c r="N24" s="178">
        <f>'[1]Database'!M14</f>
        <v>16989.630859375</v>
      </c>
      <c r="O24" s="178">
        <f>'[1]Database'!N14</f>
        <v>22497.029296875</v>
      </c>
      <c r="P24" s="178">
        <f>'[1]Database'!O14</f>
        <v>22278.220703125</v>
      </c>
      <c r="Q24" s="178">
        <f>'[1]Database'!P14</f>
        <v>28985.48046875</v>
      </c>
      <c r="R24" s="178">
        <f>'[1]Database'!Q14</f>
        <v>11386.619140625</v>
      </c>
      <c r="S24" s="178">
        <f>'[1]Database'!R14</f>
        <v>9406.5</v>
      </c>
      <c r="T24" s="178">
        <f>'[1]Database'!S14</f>
        <v>9508.1201171875</v>
      </c>
      <c r="U24" s="178">
        <f>'[1]Database'!T14</f>
        <v>10638.41015625</v>
      </c>
      <c r="V24" s="178">
        <f>'[1]Database'!U14</f>
        <v>1571.8798828125</v>
      </c>
      <c r="W24" s="178">
        <f>'[1]Database'!V14</f>
        <v>18970.5703125</v>
      </c>
      <c r="X24" s="178">
        <f>'[1]Database'!W14</f>
        <v>9477.41015625</v>
      </c>
      <c r="Y24" s="178">
        <f>'[1]Database'!X14</f>
        <v>8645.779296875</v>
      </c>
      <c r="Z24" s="178">
        <f>'[1]Database'!Y14</f>
        <v>7281.5498046875</v>
      </c>
      <c r="AA24" s="178">
        <f>'[1]Database'!Z14</f>
        <v>1825.530029296875</v>
      </c>
      <c r="AB24" s="178">
        <f>'[1]Database'!AA14</f>
        <v>0</v>
      </c>
      <c r="AC24" s="178">
        <f>'[1]Database'!AB14</f>
        <v>2537.300048828125</v>
      </c>
      <c r="AD24" s="178">
        <f>'[1]Database'!AC14</f>
        <v>0</v>
      </c>
      <c r="AE24" s="178">
        <f>'[1]Database'!AD14</f>
        <v>0</v>
      </c>
      <c r="AF24" s="178">
        <f>'[1]Database'!AE14</f>
        <v>0</v>
      </c>
      <c r="AG24" s="178">
        <f>'[1]Database'!AF14</f>
        <v>0</v>
      </c>
      <c r="AH24" s="178">
        <f>'[1]Database'!AG14</f>
        <v>0</v>
      </c>
      <c r="AI24" s="178">
        <f>'[1]Database'!AH14</f>
        <v>0</v>
      </c>
      <c r="AJ24" s="178">
        <f>'[1]Database'!AI14</f>
        <v>0</v>
      </c>
      <c r="AK24" s="178">
        <f>'[1]Database'!AJ14</f>
        <v>0</v>
      </c>
      <c r="AL24" s="178">
        <f>'[1]Database'!AK14</f>
        <v>0</v>
      </c>
      <c r="AM24" s="178">
        <f>'[1]Database'!AL14</f>
        <v>0</v>
      </c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9">
        <f t="shared" si="0"/>
        <v>0.16543864563966734</v>
      </c>
      <c r="BA24" s="180">
        <f t="shared" si="1"/>
        <v>309642.37255859375</v>
      </c>
      <c r="BB24" s="167"/>
      <c r="BC24" s="181"/>
    </row>
    <row r="25" spans="1:55" ht="12.75">
      <c r="A25" s="163"/>
      <c r="B25" s="177" t="str">
        <f>'[1]Database'!A15</f>
        <v>Feb 2003</v>
      </c>
      <c r="C25" s="178">
        <f>'[1]Database'!B15</f>
        <v>2758951</v>
      </c>
      <c r="D25" s="178">
        <f>'[1]Database'!C15</f>
        <v>8086.119140625</v>
      </c>
      <c r="E25" s="178">
        <f>'[1]Database'!D15</f>
        <v>0</v>
      </c>
      <c r="F25" s="178">
        <f>'[1]Database'!E15</f>
        <v>53528.37109375</v>
      </c>
      <c r="G25" s="178">
        <f>'[1]Database'!F15</f>
        <v>21090.4609375</v>
      </c>
      <c r="H25" s="178">
        <f>'[1]Database'!G15</f>
        <v>18402.33984375</v>
      </c>
      <c r="I25" s="178">
        <f>'[1]Database'!H15</f>
        <v>21335.060546875</v>
      </c>
      <c r="J25" s="178">
        <f>'[1]Database'!I15</f>
        <v>10667.8291015625</v>
      </c>
      <c r="K25" s="178">
        <f>'[1]Database'!J15</f>
        <v>17012.98046875</v>
      </c>
      <c r="L25" s="178">
        <f>'[1]Database'!K15</f>
        <v>26591.87890625</v>
      </c>
      <c r="M25" s="178">
        <f>'[1]Database'!L15</f>
        <v>29459.7109375</v>
      </c>
      <c r="N25" s="178">
        <f>'[1]Database'!M15</f>
        <v>55557.6328125</v>
      </c>
      <c r="O25" s="178">
        <f>'[1]Database'!N15</f>
        <v>20153.458984375</v>
      </c>
      <c r="P25" s="178">
        <f>'[1]Database'!O15</f>
        <v>38495.78125</v>
      </c>
      <c r="Q25" s="178">
        <f>'[1]Database'!P15</f>
        <v>11067.8701171875</v>
      </c>
      <c r="R25" s="178">
        <f>'[1]Database'!Q15</f>
        <v>14996.400390625</v>
      </c>
      <c r="S25" s="178">
        <f>'[1]Database'!R15</f>
        <v>10498.58984375</v>
      </c>
      <c r="T25" s="178">
        <f>'[1]Database'!S15</f>
        <v>10185.98046875</v>
      </c>
      <c r="U25" s="178">
        <f>'[1]Database'!T15</f>
        <v>11369.5</v>
      </c>
      <c r="V25" s="178">
        <f>'[1]Database'!U15</f>
        <v>12399.830078125</v>
      </c>
      <c r="W25" s="178">
        <f>'[1]Database'!V15</f>
        <v>8511.01953125</v>
      </c>
      <c r="X25" s="178">
        <f>'[1]Database'!W15</f>
        <v>17462.9296875</v>
      </c>
      <c r="Y25" s="178">
        <f>'[1]Database'!X15</f>
        <v>7405.10986328125</v>
      </c>
      <c r="Z25" s="178">
        <f>'[1]Database'!Y15</f>
        <v>0</v>
      </c>
      <c r="AA25" s="178">
        <f>'[1]Database'!Z15</f>
        <v>0</v>
      </c>
      <c r="AB25" s="178">
        <f>'[1]Database'!AA15</f>
        <v>0</v>
      </c>
      <c r="AC25" s="178">
        <f>'[1]Database'!AB15</f>
        <v>0</v>
      </c>
      <c r="AD25" s="178">
        <f>'[1]Database'!AC15</f>
        <v>0</v>
      </c>
      <c r="AE25" s="178">
        <f>'[1]Database'!AD15</f>
        <v>0</v>
      </c>
      <c r="AF25" s="178">
        <f>'[1]Database'!AE15</f>
        <v>0</v>
      </c>
      <c r="AG25" s="178">
        <f>'[1]Database'!AF15</f>
        <v>0</v>
      </c>
      <c r="AH25" s="178">
        <f>'[1]Database'!AG15</f>
        <v>0</v>
      </c>
      <c r="AI25" s="178">
        <f>'[1]Database'!AH15</f>
        <v>0</v>
      </c>
      <c r="AJ25" s="178">
        <f>'[1]Database'!AI15</f>
        <v>0</v>
      </c>
      <c r="AK25" s="178">
        <f>'[1]Database'!AJ15</f>
        <v>0</v>
      </c>
      <c r="AL25" s="178">
        <f>'[1]Database'!AK15</f>
        <v>0</v>
      </c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9">
        <f t="shared" si="0"/>
        <v>0.1537826710238443</v>
      </c>
      <c r="BA25" s="180">
        <f t="shared" si="1"/>
        <v>424278.85400390625</v>
      </c>
      <c r="BB25" s="167"/>
      <c r="BC25" s="181"/>
    </row>
    <row r="26" spans="1:55" ht="12.75">
      <c r="A26" s="163"/>
      <c r="B26" s="177" t="str">
        <f>'[1]Database'!A16</f>
        <v>Mar 2003</v>
      </c>
      <c r="C26" s="178">
        <f>'[1]Database'!B16</f>
        <v>2707875</v>
      </c>
      <c r="D26" s="178">
        <f>'[1]Database'!C16</f>
        <v>5466.43017578125</v>
      </c>
      <c r="E26" s="178">
        <f>'[1]Database'!D16</f>
        <v>1400</v>
      </c>
      <c r="F26" s="178">
        <f>'[1]Database'!E16</f>
        <v>1990.050048828125</v>
      </c>
      <c r="G26" s="178">
        <f>'[1]Database'!F16</f>
        <v>43295.53125</v>
      </c>
      <c r="H26" s="178">
        <f>'[1]Database'!G16</f>
        <v>32744.599609375</v>
      </c>
      <c r="I26" s="178">
        <f>'[1]Database'!H16</f>
        <v>63379.0703125</v>
      </c>
      <c r="J26" s="178">
        <f>'[1]Database'!I16</f>
        <v>21161.73828125</v>
      </c>
      <c r="K26" s="178">
        <f>'[1]Database'!J16</f>
        <v>36937.359375</v>
      </c>
      <c r="L26" s="178">
        <f>'[1]Database'!K16</f>
        <v>57141.60546875</v>
      </c>
      <c r="M26" s="178">
        <f>'[1]Database'!L16</f>
        <v>39120.953125</v>
      </c>
      <c r="N26" s="178">
        <f>'[1]Database'!M16</f>
        <v>29600.7890625</v>
      </c>
      <c r="O26" s="178">
        <f>'[1]Database'!N16</f>
        <v>28944.791015625</v>
      </c>
      <c r="P26" s="178">
        <f>'[1]Database'!O16</f>
        <v>6210.65966796875</v>
      </c>
      <c r="Q26" s="178">
        <f>'[1]Database'!P16</f>
        <v>17043.1796875</v>
      </c>
      <c r="R26" s="178">
        <f>'[1]Database'!Q16</f>
        <v>18648.150390625</v>
      </c>
      <c r="S26" s="178">
        <f>'[1]Database'!R16</f>
        <v>475.8500061035156</v>
      </c>
      <c r="T26" s="178">
        <f>'[1]Database'!S16</f>
        <v>2177.0400390625</v>
      </c>
      <c r="U26" s="178">
        <f>'[1]Database'!T16</f>
        <v>5354.080078125</v>
      </c>
      <c r="V26" s="178">
        <f>'[1]Database'!U16</f>
        <v>4614.48974609375</v>
      </c>
      <c r="W26" s="178">
        <f>'[1]Database'!V16</f>
        <v>0</v>
      </c>
      <c r="X26" s="178">
        <f>'[1]Database'!W16</f>
        <v>4489.23046875</v>
      </c>
      <c r="Y26" s="178">
        <f>'[1]Database'!X16</f>
        <v>7621.0498046875</v>
      </c>
      <c r="Z26" s="178">
        <f>'[1]Database'!Y16</f>
        <v>0</v>
      </c>
      <c r="AA26" s="178">
        <f>'[1]Database'!Z16</f>
        <v>2256.010009765625</v>
      </c>
      <c r="AB26" s="178">
        <f>'[1]Database'!AA16</f>
        <v>0</v>
      </c>
      <c r="AC26" s="178">
        <f>'[1]Database'!AB16</f>
        <v>0</v>
      </c>
      <c r="AD26" s="178">
        <f>'[1]Database'!AC16</f>
        <v>0</v>
      </c>
      <c r="AE26" s="178">
        <f>'[1]Database'!AD16</f>
        <v>0</v>
      </c>
      <c r="AF26" s="178">
        <f>'[1]Database'!AE16</f>
        <v>0</v>
      </c>
      <c r="AG26" s="178">
        <f>'[1]Database'!AF16</f>
        <v>0</v>
      </c>
      <c r="AH26" s="178">
        <f>'[1]Database'!AG16</f>
        <v>0</v>
      </c>
      <c r="AI26" s="178">
        <f>'[1]Database'!AH16</f>
        <v>0</v>
      </c>
      <c r="AJ26" s="178">
        <f>'[1]Database'!AI16</f>
        <v>0</v>
      </c>
      <c r="AK26" s="178">
        <f>'[1]Database'!AJ16</f>
        <v>0</v>
      </c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9">
        <f t="shared" si="0"/>
        <v>0.1588229359269874</v>
      </c>
      <c r="BA26" s="180">
        <f t="shared" si="1"/>
        <v>430072.657623291</v>
      </c>
      <c r="BB26" s="167"/>
      <c r="BC26" s="181"/>
    </row>
    <row r="27" spans="1:55" ht="12.75">
      <c r="A27" s="163"/>
      <c r="B27" s="177" t="str">
        <f>'[1]Database'!A17</f>
        <v>Apr 2003</v>
      </c>
      <c r="C27" s="178">
        <f>'[1]Database'!B17</f>
        <v>2498936.5</v>
      </c>
      <c r="D27" s="178">
        <f>'[1]Database'!C17</f>
        <v>0</v>
      </c>
      <c r="E27" s="178">
        <f>'[1]Database'!D17</f>
        <v>0</v>
      </c>
      <c r="F27" s="178">
        <f>'[1]Database'!E17</f>
        <v>1399</v>
      </c>
      <c r="G27" s="178">
        <f>'[1]Database'!F17</f>
        <v>42074.2265625</v>
      </c>
      <c r="H27" s="178">
        <f>'[1]Database'!G17</f>
        <v>33021.71875</v>
      </c>
      <c r="I27" s="178">
        <f>'[1]Database'!H17</f>
        <v>9229.009765625</v>
      </c>
      <c r="J27" s="178">
        <f>'[1]Database'!I17</f>
        <v>52953.66015625</v>
      </c>
      <c r="K27" s="178">
        <f>'[1]Database'!J17</f>
        <v>76232.8671875</v>
      </c>
      <c r="L27" s="178">
        <f>'[1]Database'!K17</f>
        <v>19548.568359375</v>
      </c>
      <c r="M27" s="178">
        <f>'[1]Database'!L17</f>
        <v>27509.28125</v>
      </c>
      <c r="N27" s="178">
        <f>'[1]Database'!M17</f>
        <v>8133.2197265625</v>
      </c>
      <c r="O27" s="178">
        <f>'[1]Database'!N17</f>
        <v>4494.84033203125</v>
      </c>
      <c r="P27" s="178">
        <f>'[1]Database'!O17</f>
        <v>0</v>
      </c>
      <c r="Q27" s="178">
        <f>'[1]Database'!P17</f>
        <v>15888.6796875</v>
      </c>
      <c r="R27" s="178">
        <f>'[1]Database'!Q17</f>
        <v>14218.189453125</v>
      </c>
      <c r="S27" s="178">
        <f>'[1]Database'!R17</f>
        <v>6032.5302734375</v>
      </c>
      <c r="T27" s="178">
        <f>'[1]Database'!S17</f>
        <v>8594.849609375</v>
      </c>
      <c r="U27" s="178">
        <f>'[1]Database'!T17</f>
        <v>6739.0205078125</v>
      </c>
      <c r="V27" s="178">
        <f>'[1]Database'!U17</f>
        <v>9743.849609375</v>
      </c>
      <c r="W27" s="178">
        <f>'[1]Database'!V17</f>
        <v>7361.2900390625</v>
      </c>
      <c r="X27" s="178">
        <f>'[1]Database'!W17</f>
        <v>5878.2802734375</v>
      </c>
      <c r="Y27" s="178">
        <f>'[1]Database'!X17</f>
        <v>0</v>
      </c>
      <c r="Z27" s="178">
        <f>'[1]Database'!Y17</f>
        <v>0</v>
      </c>
      <c r="AA27" s="178">
        <f>'[1]Database'!Z17</f>
        <v>0</v>
      </c>
      <c r="AB27" s="178">
        <f>'[1]Database'!AA17</f>
        <v>0</v>
      </c>
      <c r="AC27" s="178">
        <f>'[1]Database'!AB17</f>
        <v>0</v>
      </c>
      <c r="AD27" s="178">
        <f>'[1]Database'!AC17</f>
        <v>0</v>
      </c>
      <c r="AE27" s="178">
        <f>'[1]Database'!AD17</f>
        <v>0</v>
      </c>
      <c r="AF27" s="178">
        <f>'[1]Database'!AE17</f>
        <v>0</v>
      </c>
      <c r="AG27" s="178">
        <f>'[1]Database'!AF17</f>
        <v>0</v>
      </c>
      <c r="AH27" s="178">
        <f>'[1]Database'!AG17</f>
        <v>0</v>
      </c>
      <c r="AI27" s="178">
        <f>'[1]Database'!AH17</f>
        <v>0</v>
      </c>
      <c r="AJ27" s="178">
        <f>'[1]Database'!AI17</f>
        <v>0</v>
      </c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>
        <f t="shared" si="0"/>
        <v>0.13968065276687452</v>
      </c>
      <c r="BA27" s="180">
        <f t="shared" si="1"/>
        <v>349053.08154296875</v>
      </c>
      <c r="BB27" s="167"/>
      <c r="BC27" s="181"/>
    </row>
    <row r="28" spans="1:55" ht="12.75">
      <c r="A28" s="163"/>
      <c r="B28" s="177" t="str">
        <f>'[1]Database'!A18</f>
        <v>May 2003</v>
      </c>
      <c r="C28" s="178">
        <f>'[1]Database'!B18</f>
        <v>3176557.5</v>
      </c>
      <c r="D28" s="178">
        <f>'[1]Database'!C18</f>
        <v>0</v>
      </c>
      <c r="E28" s="178">
        <f>'[1]Database'!D18</f>
        <v>1400</v>
      </c>
      <c r="F28" s="178">
        <f>'[1]Database'!E18</f>
        <v>22192.419921875</v>
      </c>
      <c r="G28" s="178">
        <f>'[1]Database'!F18</f>
        <v>55526.7578125</v>
      </c>
      <c r="H28" s="178">
        <f>'[1]Database'!G18</f>
        <v>51386.74609375</v>
      </c>
      <c r="I28" s="178">
        <f>'[1]Database'!H18</f>
        <v>37350.3125</v>
      </c>
      <c r="J28" s="178">
        <f>'[1]Database'!I18</f>
        <v>63446.453125</v>
      </c>
      <c r="K28" s="178">
        <f>'[1]Database'!J18</f>
        <v>64755.359375</v>
      </c>
      <c r="L28" s="178">
        <f>'[1]Database'!K18</f>
        <v>36341.94140625</v>
      </c>
      <c r="M28" s="178">
        <f>'[1]Database'!L18</f>
        <v>21264.01953125</v>
      </c>
      <c r="N28" s="178">
        <f>'[1]Database'!M18</f>
        <v>12966.7998046875</v>
      </c>
      <c r="O28" s="178">
        <f>'[1]Database'!N18</f>
        <v>23348.80859375</v>
      </c>
      <c r="P28" s="178">
        <f>'[1]Database'!O18</f>
        <v>21226.529296875</v>
      </c>
      <c r="Q28" s="178">
        <f>'[1]Database'!P18</f>
        <v>5329.25</v>
      </c>
      <c r="R28" s="178">
        <f>'[1]Database'!Q18</f>
        <v>7810.75</v>
      </c>
      <c r="S28" s="178">
        <f>'[1]Database'!R18</f>
        <v>17389.521484375</v>
      </c>
      <c r="T28" s="178">
        <f>'[1]Database'!S18</f>
        <v>15390.8203125</v>
      </c>
      <c r="U28" s="178">
        <f>'[1]Database'!T18</f>
        <v>6940.8203125</v>
      </c>
      <c r="V28" s="178">
        <f>'[1]Database'!U18</f>
        <v>6162.10009765625</v>
      </c>
      <c r="W28" s="178">
        <f>'[1]Database'!V18</f>
        <v>11217.0498046875</v>
      </c>
      <c r="X28" s="178">
        <f>'[1]Database'!W18</f>
        <v>0</v>
      </c>
      <c r="Y28" s="178">
        <f>'[1]Database'!X18</f>
        <v>0</v>
      </c>
      <c r="Z28" s="178">
        <f>'[1]Database'!Y18</f>
        <v>0</v>
      </c>
      <c r="AA28" s="178">
        <f>'[1]Database'!Z18</f>
        <v>0</v>
      </c>
      <c r="AB28" s="178">
        <f>'[1]Database'!AA18</f>
        <v>0</v>
      </c>
      <c r="AC28" s="178">
        <f>'[1]Database'!AB18</f>
        <v>0</v>
      </c>
      <c r="AD28" s="178">
        <f>'[1]Database'!AC18</f>
        <v>0</v>
      </c>
      <c r="AE28" s="178">
        <f>'[1]Database'!AD18</f>
        <v>0</v>
      </c>
      <c r="AF28" s="178">
        <f>'[1]Database'!AE18</f>
        <v>0</v>
      </c>
      <c r="AG28" s="178">
        <f>'[1]Database'!AF18</f>
        <v>0</v>
      </c>
      <c r="AH28" s="178">
        <f>'[1]Database'!AG18</f>
        <v>0</v>
      </c>
      <c r="AI28" s="178">
        <f>'[1]Database'!AH18</f>
        <v>0</v>
      </c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9">
        <f t="shared" si="0"/>
        <v>0.1515623310683519</v>
      </c>
      <c r="BA28" s="180">
        <f t="shared" si="1"/>
        <v>481446.45947265625</v>
      </c>
      <c r="BB28" s="167"/>
      <c r="BC28" s="181"/>
    </row>
    <row r="29" spans="1:55" ht="12.75">
      <c r="A29" s="163"/>
      <c r="B29" s="177" t="str">
        <f>'[1]Database'!A19</f>
        <v>Jun 2003</v>
      </c>
      <c r="C29" s="178">
        <f>'[1]Database'!B19</f>
        <v>3103075.75</v>
      </c>
      <c r="D29" s="178">
        <f>'[1]Database'!C19</f>
        <v>0</v>
      </c>
      <c r="E29" s="178">
        <f>'[1]Database'!D19</f>
        <v>36458.0390625</v>
      </c>
      <c r="F29" s="178">
        <f>'[1]Database'!E19</f>
        <v>43529.08203125</v>
      </c>
      <c r="G29" s="178">
        <f>'[1]Database'!F19</f>
        <v>0</v>
      </c>
      <c r="H29" s="178">
        <f>'[1]Database'!G19</f>
        <v>83224.5078125</v>
      </c>
      <c r="I29" s="178">
        <f>'[1]Database'!H19</f>
        <v>13398.16015625</v>
      </c>
      <c r="J29" s="178">
        <f>'[1]Database'!I19</f>
        <v>17269.330078125</v>
      </c>
      <c r="K29" s="178">
        <f>'[1]Database'!J19</f>
        <v>29598.138671875</v>
      </c>
      <c r="L29" s="178">
        <f>'[1]Database'!K19</f>
        <v>32924.91015625</v>
      </c>
      <c r="M29" s="178">
        <f>'[1]Database'!L19</f>
        <v>8026.259765625</v>
      </c>
      <c r="N29" s="178">
        <f>'[1]Database'!M19</f>
        <v>22853.94921875</v>
      </c>
      <c r="O29" s="178">
        <f>'[1]Database'!N19</f>
        <v>20099.880859375</v>
      </c>
      <c r="P29" s="178">
        <f>'[1]Database'!O19</f>
        <v>0</v>
      </c>
      <c r="Q29" s="178">
        <f>'[1]Database'!P19</f>
        <v>10705.9697265625</v>
      </c>
      <c r="R29" s="178">
        <f>'[1]Database'!Q19</f>
        <v>21445.548828125</v>
      </c>
      <c r="S29" s="178">
        <f>'[1]Database'!R19</f>
        <v>9934.26953125</v>
      </c>
      <c r="T29" s="178">
        <f>'[1]Database'!S19</f>
        <v>2273.139892578125</v>
      </c>
      <c r="U29" s="178">
        <f>'[1]Database'!T19</f>
        <v>12904.8603515625</v>
      </c>
      <c r="V29" s="178">
        <f>'[1]Database'!U19</f>
        <v>4421.75</v>
      </c>
      <c r="W29" s="178">
        <f>'[1]Database'!V19</f>
        <v>1862.4200439453125</v>
      </c>
      <c r="X29" s="178">
        <f>'[1]Database'!W19</f>
        <v>0</v>
      </c>
      <c r="Y29" s="178">
        <f>'[1]Database'!X19</f>
        <v>0</v>
      </c>
      <c r="Z29" s="178">
        <f>'[1]Database'!Y19</f>
        <v>0</v>
      </c>
      <c r="AA29" s="178">
        <f>'[1]Database'!Z19</f>
        <v>0</v>
      </c>
      <c r="AB29" s="178">
        <f>'[1]Database'!AA19</f>
        <v>0</v>
      </c>
      <c r="AC29" s="178">
        <f>'[1]Database'!AB19</f>
        <v>0</v>
      </c>
      <c r="AD29" s="178">
        <f>'[1]Database'!AC19</f>
        <v>0</v>
      </c>
      <c r="AE29" s="178">
        <f>'[1]Database'!AD19</f>
        <v>0</v>
      </c>
      <c r="AF29" s="178">
        <f>'[1]Database'!AE19</f>
        <v>0</v>
      </c>
      <c r="AG29" s="178">
        <f>'[1]Database'!AF19</f>
        <v>0</v>
      </c>
      <c r="AH29" s="178">
        <f>'[1]Database'!AG19</f>
        <v>0</v>
      </c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9">
        <f t="shared" si="0"/>
        <v>0.11953630722244644</v>
      </c>
      <c r="BA29" s="180">
        <f t="shared" si="1"/>
        <v>370930.21618652344</v>
      </c>
      <c r="BB29" s="167"/>
      <c r="BC29" s="181"/>
    </row>
    <row r="30" spans="1:55" ht="12.75">
      <c r="A30" s="163"/>
      <c r="B30" s="177" t="str">
        <f>'[1]Database'!A20</f>
        <v>Jul 2003</v>
      </c>
      <c r="C30" s="178">
        <f>'[1]Database'!B20</f>
        <v>2959756.75</v>
      </c>
      <c r="D30" s="178">
        <f>'[1]Database'!C20</f>
        <v>0</v>
      </c>
      <c r="E30" s="178">
        <f>'[1]Database'!D20</f>
        <v>0</v>
      </c>
      <c r="F30" s="178">
        <f>'[1]Database'!E20</f>
        <v>0</v>
      </c>
      <c r="G30" s="178">
        <f>'[1]Database'!F20</f>
        <v>21282.69921875</v>
      </c>
      <c r="H30" s="178">
        <f>'[1]Database'!G20</f>
        <v>3779.66015625</v>
      </c>
      <c r="I30" s="178">
        <f>'[1]Database'!H20</f>
        <v>22416.12890625</v>
      </c>
      <c r="J30" s="178">
        <f>'[1]Database'!I20</f>
        <v>5999.39990234375</v>
      </c>
      <c r="K30" s="178">
        <f>'[1]Database'!J20</f>
        <v>13685.0390625</v>
      </c>
      <c r="L30" s="178">
        <f>'[1]Database'!K20</f>
        <v>16925.201171875</v>
      </c>
      <c r="M30" s="178">
        <f>'[1]Database'!L20</f>
        <v>21898.48046875</v>
      </c>
      <c r="N30" s="178">
        <f>'[1]Database'!M20</f>
        <v>4655.25</v>
      </c>
      <c r="O30" s="178">
        <f>'[1]Database'!N20</f>
        <v>7952.6103515625</v>
      </c>
      <c r="P30" s="178">
        <f>'[1]Database'!O20</f>
        <v>12964.0390625</v>
      </c>
      <c r="Q30" s="178">
        <f>'[1]Database'!P20</f>
        <v>5513.759765625</v>
      </c>
      <c r="R30" s="178">
        <f>'[1]Database'!Q20</f>
        <v>23704.369140625</v>
      </c>
      <c r="S30" s="178">
        <f>'[1]Database'!R20</f>
        <v>7940.3798828125</v>
      </c>
      <c r="T30" s="178">
        <f>'[1]Database'!S20</f>
        <v>23535.05859375</v>
      </c>
      <c r="U30" s="178">
        <f>'[1]Database'!T20</f>
        <v>25063.310546875</v>
      </c>
      <c r="V30" s="178">
        <f>'[1]Database'!U20</f>
        <v>5480.10009765625</v>
      </c>
      <c r="W30" s="178">
        <f>'[1]Database'!V20</f>
        <v>0</v>
      </c>
      <c r="X30" s="178">
        <f>'[1]Database'!W20</f>
        <v>0</v>
      </c>
      <c r="Y30" s="178">
        <f>'[1]Database'!X20</f>
        <v>0</v>
      </c>
      <c r="Z30" s="178">
        <f>'[1]Database'!Y20</f>
        <v>0</v>
      </c>
      <c r="AA30" s="178">
        <f>'[1]Database'!Z20</f>
        <v>0</v>
      </c>
      <c r="AB30" s="178">
        <f>'[1]Database'!AA20</f>
        <v>0</v>
      </c>
      <c r="AC30" s="178">
        <f>'[1]Database'!AB20</f>
        <v>0</v>
      </c>
      <c r="AD30" s="178">
        <f>'[1]Database'!AC20</f>
        <v>0</v>
      </c>
      <c r="AE30" s="178">
        <f>'[1]Database'!AD20</f>
        <v>0</v>
      </c>
      <c r="AF30" s="178">
        <f>'[1]Database'!AE20</f>
        <v>0</v>
      </c>
      <c r="AG30" s="178">
        <f>'[1]Database'!AF20</f>
        <v>0</v>
      </c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9">
        <f t="shared" si="0"/>
        <v>0.07527493140378005</v>
      </c>
      <c r="BA30" s="180">
        <f t="shared" si="1"/>
        <v>222795.486328125</v>
      </c>
      <c r="BB30" s="167"/>
      <c r="BC30" s="181"/>
    </row>
    <row r="31" spans="1:55" ht="12.75">
      <c r="A31" s="163"/>
      <c r="B31" s="177" t="str">
        <f>'[1]Database'!A21</f>
        <v>Aug 2003</v>
      </c>
      <c r="C31" s="178">
        <f>'[1]Database'!B21</f>
        <v>3186030</v>
      </c>
      <c r="D31" s="178">
        <f>'[1]Database'!C21</f>
        <v>0</v>
      </c>
      <c r="E31" s="178">
        <f>'[1]Database'!D21</f>
        <v>2795.580078125</v>
      </c>
      <c r="F31" s="178">
        <f>'[1]Database'!E21</f>
        <v>48079.125</v>
      </c>
      <c r="G31" s="178">
        <f>'[1]Database'!F21</f>
        <v>41765.76171875</v>
      </c>
      <c r="H31" s="178">
        <f>'[1]Database'!G21</f>
        <v>19582.359375</v>
      </c>
      <c r="I31" s="178">
        <f>'[1]Database'!H21</f>
        <v>22164.900390625</v>
      </c>
      <c r="J31" s="178">
        <f>'[1]Database'!I21</f>
        <v>0</v>
      </c>
      <c r="K31" s="178">
        <f>'[1]Database'!J21</f>
        <v>24705.6484375</v>
      </c>
      <c r="L31" s="178">
        <f>'[1]Database'!K21</f>
        <v>16274.119140625</v>
      </c>
      <c r="M31" s="178">
        <f>'[1]Database'!L21</f>
        <v>6889.51025390625</v>
      </c>
      <c r="N31" s="178">
        <f>'[1]Database'!M21</f>
        <v>17450.80078125</v>
      </c>
      <c r="O31" s="178">
        <f>'[1]Database'!N21</f>
        <v>30586.318359375</v>
      </c>
      <c r="P31" s="178">
        <f>'[1]Database'!O21</f>
        <v>24040.990234375</v>
      </c>
      <c r="Q31" s="178">
        <f>'[1]Database'!P21</f>
        <v>12877.2607421875</v>
      </c>
      <c r="R31" s="178">
        <f>'[1]Database'!Q21</f>
        <v>32761.390625</v>
      </c>
      <c r="S31" s="178">
        <f>'[1]Database'!R21</f>
        <v>19681.4296875</v>
      </c>
      <c r="T31" s="178">
        <f>'[1]Database'!S21</f>
        <v>0</v>
      </c>
      <c r="U31" s="178">
        <f>'[1]Database'!T21</f>
        <v>15375.509765625</v>
      </c>
      <c r="V31" s="178">
        <f>'[1]Database'!U21</f>
        <v>3175.35009765625</v>
      </c>
      <c r="W31" s="178">
        <f>'[1]Database'!V21</f>
        <v>0</v>
      </c>
      <c r="X31" s="178">
        <f>'[1]Database'!W21</f>
        <v>0</v>
      </c>
      <c r="Y31" s="178">
        <f>'[1]Database'!X21</f>
        <v>0</v>
      </c>
      <c r="Z31" s="178">
        <f>'[1]Database'!Y21</f>
        <v>0</v>
      </c>
      <c r="AA31" s="178">
        <f>'[1]Database'!Z21</f>
        <v>0</v>
      </c>
      <c r="AB31" s="178">
        <f>'[1]Database'!AA21</f>
        <v>0</v>
      </c>
      <c r="AC31" s="178">
        <f>'[1]Database'!AB21</f>
        <v>0</v>
      </c>
      <c r="AD31" s="178">
        <f>'[1]Database'!AC21</f>
        <v>0</v>
      </c>
      <c r="AE31" s="178">
        <f>'[1]Database'!AD21</f>
        <v>0</v>
      </c>
      <c r="AF31" s="178">
        <f>'[1]Database'!AE21</f>
        <v>0</v>
      </c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9">
        <f t="shared" si="0"/>
        <v>0.10615281547490137</v>
      </c>
      <c r="BA31" s="180">
        <f t="shared" si="1"/>
        <v>338206.0546875</v>
      </c>
      <c r="BB31" s="167"/>
      <c r="BC31" s="181"/>
    </row>
    <row r="32" spans="1:55" ht="12.75">
      <c r="A32" s="163"/>
      <c r="B32" s="177" t="str">
        <f>'[1]Database'!A22</f>
        <v>Sep 2003</v>
      </c>
      <c r="C32" s="178">
        <f>'[1]Database'!B22</f>
        <v>2803306.5</v>
      </c>
      <c r="D32" s="178">
        <f>'[1]Database'!C22</f>
        <v>0</v>
      </c>
      <c r="E32" s="178">
        <f>'[1]Database'!D22</f>
        <v>1406.5999755859375</v>
      </c>
      <c r="F32" s="178">
        <f>'[1]Database'!E22</f>
        <v>17761.388671875</v>
      </c>
      <c r="G32" s="178">
        <f>'[1]Database'!F22</f>
        <v>0</v>
      </c>
      <c r="H32" s="178">
        <f>'[1]Database'!G22</f>
        <v>40216.98046875</v>
      </c>
      <c r="I32" s="178">
        <f>'[1]Database'!H22</f>
        <v>7375.72021484375</v>
      </c>
      <c r="J32" s="178">
        <f>'[1]Database'!I22</f>
        <v>14490.2900390625</v>
      </c>
      <c r="K32" s="178">
        <f>'[1]Database'!J22</f>
        <v>18033.859375</v>
      </c>
      <c r="L32" s="178">
        <f>'[1]Database'!K22</f>
        <v>14168.6103515625</v>
      </c>
      <c r="M32" s="178">
        <f>'[1]Database'!L22</f>
        <v>4483.81005859375</v>
      </c>
      <c r="N32" s="178">
        <f>'[1]Database'!M22</f>
        <v>12922.150390625</v>
      </c>
      <c r="O32" s="178">
        <f>'[1]Database'!N22</f>
        <v>11693.7802734375</v>
      </c>
      <c r="P32" s="178">
        <f>'[1]Database'!O22</f>
        <v>20693.390625</v>
      </c>
      <c r="Q32" s="178">
        <f>'[1]Database'!P22</f>
        <v>2299.5</v>
      </c>
      <c r="R32" s="178">
        <f>'[1]Database'!Q22</f>
        <v>3792.580078125</v>
      </c>
      <c r="S32" s="178">
        <f>'[1]Database'!R22</f>
        <v>5877.830078125</v>
      </c>
      <c r="T32" s="178">
        <f>'[1]Database'!S22</f>
        <v>0</v>
      </c>
      <c r="U32" s="178">
        <f>'[1]Database'!T22</f>
        <v>1401.75</v>
      </c>
      <c r="V32" s="178">
        <f>'[1]Database'!U22</f>
        <v>0</v>
      </c>
      <c r="W32" s="178">
        <f>'[1]Database'!V22</f>
        <v>0</v>
      </c>
      <c r="X32" s="178">
        <f>'[1]Database'!W22</f>
        <v>0</v>
      </c>
      <c r="Y32" s="178">
        <f>'[1]Database'!X22</f>
        <v>0</v>
      </c>
      <c r="Z32" s="178">
        <f>'[1]Database'!Y22</f>
        <v>0</v>
      </c>
      <c r="AA32" s="178">
        <f>'[1]Database'!Z22</f>
        <v>0</v>
      </c>
      <c r="AB32" s="178">
        <f>'[1]Database'!AA22</f>
        <v>0</v>
      </c>
      <c r="AC32" s="178">
        <f>'[1]Database'!AB22</f>
        <v>0</v>
      </c>
      <c r="AD32" s="178">
        <f>'[1]Database'!AC22</f>
        <v>0</v>
      </c>
      <c r="AE32" s="178">
        <f>'[1]Database'!AD22</f>
        <v>0</v>
      </c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9">
        <f t="shared" si="0"/>
        <v>0.06300354263816173</v>
      </c>
      <c r="BA32" s="180">
        <f t="shared" si="1"/>
        <v>176618.24060058594</v>
      </c>
      <c r="BB32" s="167"/>
      <c r="BC32" s="181"/>
    </row>
    <row r="33" spans="1:55" ht="12.75">
      <c r="A33" s="163"/>
      <c r="B33" s="177" t="str">
        <f>'[1]Database'!A23</f>
        <v>Oct 2003</v>
      </c>
      <c r="C33" s="178">
        <f>'[1]Database'!B23</f>
        <v>3208672.25</v>
      </c>
      <c r="D33" s="178">
        <f>'[1]Database'!C23</f>
        <v>6253.83984375</v>
      </c>
      <c r="E33" s="178">
        <f>'[1]Database'!D23</f>
        <v>0</v>
      </c>
      <c r="F33" s="178">
        <f>'[1]Database'!E23</f>
        <v>2824.3798828125</v>
      </c>
      <c r="G33" s="178">
        <f>'[1]Database'!F23</f>
        <v>10636.419921875</v>
      </c>
      <c r="H33" s="178">
        <f>'[1]Database'!G23</f>
        <v>14190.3603515625</v>
      </c>
      <c r="I33" s="178">
        <f>'[1]Database'!H23</f>
        <v>2532.27001953125</v>
      </c>
      <c r="J33" s="178">
        <f>'[1]Database'!I23</f>
        <v>19168.7421875</v>
      </c>
      <c r="K33" s="178">
        <f>'[1]Database'!J23</f>
        <v>28281.16015625</v>
      </c>
      <c r="L33" s="178">
        <f>'[1]Database'!K23</f>
        <v>37880.9375</v>
      </c>
      <c r="M33" s="178">
        <f>'[1]Database'!L23</f>
        <v>27987.37109375</v>
      </c>
      <c r="N33" s="178">
        <f>'[1]Database'!M23</f>
        <v>12378.791015625</v>
      </c>
      <c r="O33" s="178">
        <f>'[1]Database'!N23</f>
        <v>14934.7900390625</v>
      </c>
      <c r="P33" s="178">
        <f>'[1]Database'!O23</f>
        <v>20756.599609375</v>
      </c>
      <c r="Q33" s="178">
        <f>'[1]Database'!P23</f>
        <v>15995.4296875</v>
      </c>
      <c r="R33" s="178">
        <f>'[1]Database'!Q23</f>
        <v>5809.18994140625</v>
      </c>
      <c r="S33" s="178">
        <f>'[1]Database'!R23</f>
        <v>8587.9599609375</v>
      </c>
      <c r="T33" s="178">
        <f>'[1]Database'!S23</f>
        <v>9128.3701171875</v>
      </c>
      <c r="U33" s="178">
        <f>'[1]Database'!T23</f>
        <v>0</v>
      </c>
      <c r="V33" s="178">
        <f>'[1]Database'!U23</f>
        <v>0</v>
      </c>
      <c r="W33" s="178">
        <f>'[1]Database'!V23</f>
        <v>0</v>
      </c>
      <c r="X33" s="178">
        <f>'[1]Database'!W23</f>
        <v>0</v>
      </c>
      <c r="Y33" s="178">
        <f>'[1]Database'!X23</f>
        <v>0</v>
      </c>
      <c r="Z33" s="178">
        <f>'[1]Database'!Y23</f>
        <v>0</v>
      </c>
      <c r="AA33" s="178">
        <f>'[1]Database'!Z23</f>
        <v>0</v>
      </c>
      <c r="AB33" s="178">
        <f>'[1]Database'!AA23</f>
        <v>0</v>
      </c>
      <c r="AC33" s="178">
        <f>'[1]Database'!AB23</f>
        <v>0</v>
      </c>
      <c r="AD33" s="178">
        <f>'[1]Database'!AC23</f>
        <v>0</v>
      </c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9">
        <f t="shared" si="0"/>
        <v>0.07397035061094975</v>
      </c>
      <c r="BA33" s="180">
        <f t="shared" si="1"/>
        <v>237346.611328125</v>
      </c>
      <c r="BB33" s="167"/>
      <c r="BC33" s="181"/>
    </row>
    <row r="34" spans="1:55" ht="12.75">
      <c r="A34" s="163"/>
      <c r="B34" s="177" t="str">
        <f>'[1]Database'!A24</f>
        <v>Nov 2003</v>
      </c>
      <c r="C34" s="178">
        <f>'[1]Database'!B24</f>
        <v>2038588.625</v>
      </c>
      <c r="D34" s="178">
        <f>'[1]Database'!C24</f>
        <v>0</v>
      </c>
      <c r="E34" s="178">
        <f>'[1]Database'!D24</f>
        <v>4650.91015625</v>
      </c>
      <c r="F34" s="178">
        <f>'[1]Database'!E24</f>
        <v>7293.4296875</v>
      </c>
      <c r="G34" s="178">
        <f>'[1]Database'!F24</f>
        <v>11554.669921875</v>
      </c>
      <c r="H34" s="178">
        <f>'[1]Database'!G24</f>
        <v>8518.2998046875</v>
      </c>
      <c r="I34" s="178">
        <f>'[1]Database'!H24</f>
        <v>44250.28125</v>
      </c>
      <c r="J34" s="178">
        <f>'[1]Database'!I24</f>
        <v>22292.25</v>
      </c>
      <c r="K34" s="178">
        <f>'[1]Database'!J24</f>
        <v>20362.859375</v>
      </c>
      <c r="L34" s="178">
        <f>'[1]Database'!K24</f>
        <v>6460.7099609375</v>
      </c>
      <c r="M34" s="178">
        <f>'[1]Database'!L24</f>
        <v>24906.55859375</v>
      </c>
      <c r="N34" s="178">
        <f>'[1]Database'!M24</f>
        <v>10292.890625</v>
      </c>
      <c r="O34" s="178">
        <f>'[1]Database'!N24</f>
        <v>17846.099609375</v>
      </c>
      <c r="P34" s="178">
        <f>'[1]Database'!O24</f>
        <v>12180.6796875</v>
      </c>
      <c r="Q34" s="178">
        <f>'[1]Database'!P24</f>
        <v>7928.51025390625</v>
      </c>
      <c r="R34" s="178">
        <f>'[1]Database'!Q24</f>
        <v>12264.2099609375</v>
      </c>
      <c r="S34" s="178">
        <f>'[1]Database'!R24</f>
        <v>9568.5498046875</v>
      </c>
      <c r="T34" s="178">
        <f>'[1]Database'!S24</f>
        <v>0</v>
      </c>
      <c r="U34" s="178">
        <f>'[1]Database'!T24</f>
        <v>0</v>
      </c>
      <c r="V34" s="178">
        <f>'[1]Database'!U24</f>
        <v>0</v>
      </c>
      <c r="W34" s="178">
        <f>'[1]Database'!V24</f>
        <v>0</v>
      </c>
      <c r="X34" s="178">
        <f>'[1]Database'!W24</f>
        <v>0</v>
      </c>
      <c r="Y34" s="178">
        <f>'[1]Database'!X24</f>
        <v>0</v>
      </c>
      <c r="Z34" s="178">
        <f>'[1]Database'!Y24</f>
        <v>0</v>
      </c>
      <c r="AA34" s="178">
        <f>'[1]Database'!Z24</f>
        <v>0</v>
      </c>
      <c r="AB34" s="178">
        <f>'[1]Database'!AA24</f>
        <v>0</v>
      </c>
      <c r="AC34" s="178">
        <f>'[1]Database'!AB24</f>
        <v>0</v>
      </c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9">
        <f t="shared" si="0"/>
        <v>0.10809974410183235</v>
      </c>
      <c r="BA34" s="180">
        <f t="shared" si="1"/>
        <v>220370.90869140625</v>
      </c>
      <c r="BB34" s="167"/>
      <c r="BC34" s="181"/>
    </row>
    <row r="35" spans="1:55" ht="12.75">
      <c r="A35" s="163"/>
      <c r="B35" s="177" t="str">
        <f>'[1]Database'!A25</f>
        <v>Dec 2003</v>
      </c>
      <c r="C35" s="178">
        <f>'[1]Database'!B25</f>
        <v>1694928.75</v>
      </c>
      <c r="D35" s="178">
        <f>'[1]Database'!C25</f>
        <v>1395.9599609375</v>
      </c>
      <c r="E35" s="178">
        <f>'[1]Database'!D25</f>
        <v>1220.9000244140625</v>
      </c>
      <c r="F35" s="178">
        <f>'[1]Database'!E25</f>
        <v>7565.60009765625</v>
      </c>
      <c r="G35" s="178">
        <f>'[1]Database'!F25</f>
        <v>1445</v>
      </c>
      <c r="H35" s="178">
        <f>'[1]Database'!G25</f>
        <v>5022.8203125</v>
      </c>
      <c r="I35" s="178">
        <f>'[1]Database'!H25</f>
        <v>21649.5703125</v>
      </c>
      <c r="J35" s="178">
        <f>'[1]Database'!I25</f>
        <v>12577.0703125</v>
      </c>
      <c r="K35" s="178">
        <f>'[1]Database'!J25</f>
        <v>17325.94921875</v>
      </c>
      <c r="L35" s="178">
        <f>'[1]Database'!K25</f>
        <v>20586.8984375</v>
      </c>
      <c r="M35" s="178">
        <f>'[1]Database'!L25</f>
        <v>29173.48046875</v>
      </c>
      <c r="N35" s="178">
        <f>'[1]Database'!M25</f>
        <v>7572.7099609375</v>
      </c>
      <c r="O35" s="178">
        <f>'[1]Database'!N25</f>
        <v>6067.990234375</v>
      </c>
      <c r="P35" s="178">
        <f>'[1]Database'!O25</f>
        <v>2621.050048828125</v>
      </c>
      <c r="Q35" s="178">
        <f>'[1]Database'!P25</f>
        <v>0</v>
      </c>
      <c r="R35" s="178">
        <f>'[1]Database'!Q25</f>
        <v>4423.2998046875</v>
      </c>
      <c r="S35" s="178">
        <f>'[1]Database'!R25</f>
        <v>0</v>
      </c>
      <c r="T35" s="178">
        <f>'[1]Database'!S25</f>
        <v>0</v>
      </c>
      <c r="U35" s="178">
        <f>'[1]Database'!T25</f>
        <v>0</v>
      </c>
      <c r="V35" s="178">
        <f>'[1]Database'!U25</f>
        <v>0</v>
      </c>
      <c r="W35" s="178">
        <f>'[1]Database'!V25</f>
        <v>0</v>
      </c>
      <c r="X35" s="178">
        <f>'[1]Database'!W25</f>
        <v>0</v>
      </c>
      <c r="Y35" s="178">
        <f>'[1]Database'!X25</f>
        <v>0</v>
      </c>
      <c r="Z35" s="178">
        <f>'[1]Database'!Y25</f>
        <v>0</v>
      </c>
      <c r="AA35" s="178">
        <f>'[1]Database'!Z25</f>
        <v>0</v>
      </c>
      <c r="AB35" s="178">
        <f>'[1]Database'!AA25</f>
        <v>0</v>
      </c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9">
        <f t="shared" si="0"/>
        <v>0.08180184517746598</v>
      </c>
      <c r="BA35" s="180">
        <f t="shared" si="1"/>
        <v>138648.29919433594</v>
      </c>
      <c r="BB35" s="167"/>
      <c r="BC35" s="181"/>
    </row>
    <row r="36" spans="1:55" ht="12.75">
      <c r="A36" s="163"/>
      <c r="B36" s="177" t="str">
        <f>'[1]Database'!A26</f>
        <v>Jan 2004</v>
      </c>
      <c r="C36" s="178">
        <f>'[1]Database'!B26</f>
        <v>2044871.375</v>
      </c>
      <c r="D36" s="178">
        <f>'[1]Database'!C26</f>
        <v>0</v>
      </c>
      <c r="E36" s="178">
        <f>'[1]Database'!D26</f>
        <v>6901.2900390625</v>
      </c>
      <c r="F36" s="178">
        <f>'[1]Database'!E26</f>
        <v>7436.52001953125</v>
      </c>
      <c r="G36" s="178">
        <f>'[1]Database'!F26</f>
        <v>11514.759765625</v>
      </c>
      <c r="H36" s="178">
        <f>'[1]Database'!G26</f>
        <v>29476.880859375</v>
      </c>
      <c r="I36" s="178">
        <f>'[1]Database'!H26</f>
        <v>11281.25</v>
      </c>
      <c r="J36" s="178">
        <f>'[1]Database'!I26</f>
        <v>24438.453125</v>
      </c>
      <c r="K36" s="178">
        <f>'[1]Database'!J26</f>
        <v>53507.02734375</v>
      </c>
      <c r="L36" s="178">
        <f>'[1]Database'!K26</f>
        <v>18922.75</v>
      </c>
      <c r="M36" s="178">
        <f>'[1]Database'!L26</f>
        <v>39471.9765625</v>
      </c>
      <c r="N36" s="178">
        <f>'[1]Database'!M26</f>
        <v>23347.87890625</v>
      </c>
      <c r="O36" s="178">
        <f>'[1]Database'!N26</f>
        <v>43069.96875</v>
      </c>
      <c r="P36" s="178">
        <f>'[1]Database'!O26</f>
        <v>9382.5400390625</v>
      </c>
      <c r="Q36" s="178">
        <f>'[1]Database'!P26</f>
        <v>11144.30078125</v>
      </c>
      <c r="R36" s="178">
        <f>'[1]Database'!Q26</f>
        <v>0</v>
      </c>
      <c r="S36" s="178">
        <f>'[1]Database'!R26</f>
        <v>0</v>
      </c>
      <c r="T36" s="178">
        <f>'[1]Database'!S26</f>
        <v>0</v>
      </c>
      <c r="U36" s="178">
        <f>'[1]Database'!T26</f>
        <v>0</v>
      </c>
      <c r="V36" s="178">
        <f>'[1]Database'!U26</f>
        <v>0</v>
      </c>
      <c r="W36" s="178">
        <f>'[1]Database'!V26</f>
        <v>0</v>
      </c>
      <c r="X36" s="178">
        <f>'[1]Database'!W26</f>
        <v>0</v>
      </c>
      <c r="Y36" s="178">
        <f>'[1]Database'!X26</f>
        <v>0</v>
      </c>
      <c r="Z36" s="178">
        <f>'[1]Database'!Y26</f>
        <v>0</v>
      </c>
      <c r="AA36" s="178">
        <f>'[1]Database'!Z26</f>
        <v>0</v>
      </c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9">
        <f t="shared" si="0"/>
        <v>0.14176715451914731</v>
      </c>
      <c r="BA36" s="180">
        <f t="shared" si="1"/>
        <v>289895.59619140625</v>
      </c>
      <c r="BB36" s="167"/>
      <c r="BC36" s="181"/>
    </row>
    <row r="37" spans="1:55" ht="12.75">
      <c r="A37" s="163"/>
      <c r="B37" s="177" t="str">
        <f>'[1]Database'!A27</f>
        <v>Feb 2004</v>
      </c>
      <c r="C37" s="178">
        <f>'[1]Database'!B27</f>
        <v>3209227.5</v>
      </c>
      <c r="D37" s="178">
        <f>'[1]Database'!C27</f>
        <v>0</v>
      </c>
      <c r="E37" s="178">
        <f>'[1]Database'!D27</f>
        <v>1400</v>
      </c>
      <c r="F37" s="178">
        <f>'[1]Database'!E27</f>
        <v>9433.41015625</v>
      </c>
      <c r="G37" s="178">
        <f>'[1]Database'!F27</f>
        <v>25817.41796875</v>
      </c>
      <c r="H37" s="178">
        <f>'[1]Database'!G27</f>
        <v>37553.73828125</v>
      </c>
      <c r="I37" s="178">
        <f>'[1]Database'!H27</f>
        <v>40356.0703125</v>
      </c>
      <c r="J37" s="178">
        <f>'[1]Database'!I27</f>
        <v>34059.8125</v>
      </c>
      <c r="K37" s="178">
        <f>'[1]Database'!J27</f>
        <v>62523.234375</v>
      </c>
      <c r="L37" s="178">
        <f>'[1]Database'!K27</f>
        <v>64201.0546875</v>
      </c>
      <c r="M37" s="178">
        <f>'[1]Database'!L27</f>
        <v>56979.93359375</v>
      </c>
      <c r="N37" s="178">
        <f>'[1]Database'!M27</f>
        <v>43353.36328125</v>
      </c>
      <c r="O37" s="178">
        <f>'[1]Database'!N27</f>
        <v>17900.521484375</v>
      </c>
      <c r="P37" s="178">
        <f>'[1]Database'!O27</f>
        <v>9363.5</v>
      </c>
      <c r="Q37" s="178">
        <f>'[1]Database'!P27</f>
        <v>0</v>
      </c>
      <c r="R37" s="178">
        <f>'[1]Database'!Q27</f>
        <v>0</v>
      </c>
      <c r="S37" s="178">
        <f>'[1]Database'!R27</f>
        <v>0</v>
      </c>
      <c r="T37" s="178">
        <f>'[1]Database'!S27</f>
        <v>0</v>
      </c>
      <c r="U37" s="178">
        <f>'[1]Database'!T27</f>
        <v>0</v>
      </c>
      <c r="V37" s="178">
        <f>'[1]Database'!U27</f>
        <v>0</v>
      </c>
      <c r="W37" s="178">
        <f>'[1]Database'!V27</f>
        <v>0</v>
      </c>
      <c r="X37" s="178">
        <f>'[1]Database'!W27</f>
        <v>0</v>
      </c>
      <c r="Y37" s="178">
        <f>'[1]Database'!X27</f>
        <v>0</v>
      </c>
      <c r="Z37" s="178">
        <f>'[1]Database'!Y27</f>
        <v>0</v>
      </c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9">
        <f t="shared" si="0"/>
        <v>0.1255573363498303</v>
      </c>
      <c r="BA37" s="180">
        <f t="shared" si="1"/>
        <v>402942.056640625</v>
      </c>
      <c r="BB37" s="167"/>
      <c r="BC37" s="181"/>
    </row>
    <row r="38" spans="1:55" ht="12.75">
      <c r="A38" s="163"/>
      <c r="B38" s="177" t="str">
        <f>'[1]Database'!A28</f>
        <v>Mar 2004</v>
      </c>
      <c r="C38" s="178">
        <f>'[1]Database'!B28</f>
        <v>3017835.25</v>
      </c>
      <c r="D38" s="178">
        <f>'[1]Database'!C28</f>
        <v>0</v>
      </c>
      <c r="E38" s="178">
        <f>'[1]Database'!D28</f>
        <v>10400.779296875</v>
      </c>
      <c r="F38" s="178">
        <f>'[1]Database'!E28</f>
        <v>0</v>
      </c>
      <c r="G38" s="178">
        <f>'[1]Database'!F28</f>
        <v>9015.2001953125</v>
      </c>
      <c r="H38" s="178">
        <f>'[1]Database'!G28</f>
        <v>54394.98046875</v>
      </c>
      <c r="I38" s="178">
        <f>'[1]Database'!H28</f>
        <v>54866.203125</v>
      </c>
      <c r="J38" s="178">
        <f>'[1]Database'!I28</f>
        <v>28978.908203125</v>
      </c>
      <c r="K38" s="178">
        <f>'[1]Database'!J28</f>
        <v>53810.2578125</v>
      </c>
      <c r="L38" s="178">
        <f>'[1]Database'!K28</f>
        <v>25492.359375</v>
      </c>
      <c r="M38" s="178">
        <f>'[1]Database'!L28</f>
        <v>31161.798828125</v>
      </c>
      <c r="N38" s="178">
        <f>'[1]Database'!M28</f>
        <v>29371.80859375</v>
      </c>
      <c r="O38" s="178">
        <f>'[1]Database'!N28</f>
        <v>8693</v>
      </c>
      <c r="P38" s="178">
        <f>'[1]Database'!O28</f>
        <v>0</v>
      </c>
      <c r="Q38" s="178">
        <f>'[1]Database'!P28</f>
        <v>0</v>
      </c>
      <c r="R38" s="178">
        <f>'[1]Database'!Q28</f>
        <v>0</v>
      </c>
      <c r="S38" s="178">
        <f>'[1]Database'!R28</f>
        <v>0</v>
      </c>
      <c r="T38" s="178">
        <f>'[1]Database'!S28</f>
        <v>0</v>
      </c>
      <c r="U38" s="178">
        <f>'[1]Database'!T28</f>
        <v>0</v>
      </c>
      <c r="V38" s="178">
        <f>'[1]Database'!U28</f>
        <v>0</v>
      </c>
      <c r="W38" s="178">
        <f>'[1]Database'!V28</f>
        <v>0</v>
      </c>
      <c r="X38" s="178">
        <f>'[1]Database'!W28</f>
        <v>0</v>
      </c>
      <c r="Y38" s="178">
        <f>'[1]Database'!X28</f>
        <v>0</v>
      </c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9">
        <f t="shared" si="0"/>
        <v>0.10145858555348158</v>
      </c>
      <c r="BA38" s="180">
        <f t="shared" si="1"/>
        <v>306185.2958984375</v>
      </c>
      <c r="BB38" s="167"/>
      <c r="BC38" s="181"/>
    </row>
    <row r="39" spans="1:55" ht="12.75">
      <c r="A39" s="163"/>
      <c r="B39" s="177" t="str">
        <f>'[1]Database'!A29</f>
        <v>Apr 2004</v>
      </c>
      <c r="C39" s="178">
        <f>'[1]Database'!B29</f>
        <v>2696298.75</v>
      </c>
      <c r="D39" s="178">
        <f>'[1]Database'!C29</f>
        <v>0</v>
      </c>
      <c r="E39" s="178">
        <f>'[1]Database'!D29</f>
        <v>4478.47998046875</v>
      </c>
      <c r="F39" s="178">
        <f>'[1]Database'!E29</f>
        <v>655.69921875</v>
      </c>
      <c r="G39" s="178">
        <f>'[1]Database'!F29</f>
        <v>12330.0703125</v>
      </c>
      <c r="H39" s="178">
        <f>'[1]Database'!G29</f>
        <v>29484.53125</v>
      </c>
      <c r="I39" s="178">
        <f>'[1]Database'!H29</f>
        <v>42573.80078125</v>
      </c>
      <c r="J39" s="178">
        <f>'[1]Database'!I29</f>
        <v>52038.5</v>
      </c>
      <c r="K39" s="178">
        <f>'[1]Database'!J29</f>
        <v>53284.98046875</v>
      </c>
      <c r="L39" s="178">
        <f>'[1]Database'!K29</f>
        <v>33454.72265625</v>
      </c>
      <c r="M39" s="178">
        <f>'[1]Database'!L29</f>
        <v>18230.76953125</v>
      </c>
      <c r="N39" s="178">
        <f>'[1]Database'!M29</f>
        <v>5441.02978515625</v>
      </c>
      <c r="O39" s="178">
        <f>'[1]Database'!N29</f>
        <v>0</v>
      </c>
      <c r="P39" s="178">
        <f>'[1]Database'!O29</f>
        <v>0</v>
      </c>
      <c r="Q39" s="178">
        <f>'[1]Database'!P29</f>
        <v>0</v>
      </c>
      <c r="R39" s="178">
        <f>'[1]Database'!Q29</f>
        <v>0</v>
      </c>
      <c r="S39" s="178">
        <f>'[1]Database'!R29</f>
        <v>0</v>
      </c>
      <c r="T39" s="178">
        <f>'[1]Database'!S29</f>
        <v>0</v>
      </c>
      <c r="U39" s="178">
        <f>'[1]Database'!T29</f>
        <v>0</v>
      </c>
      <c r="V39" s="178">
        <f>'[1]Database'!U29</f>
        <v>0</v>
      </c>
      <c r="W39" s="178">
        <f>'[1]Database'!V29</f>
        <v>0</v>
      </c>
      <c r="X39" s="178">
        <f>'[1]Database'!W29</f>
        <v>0</v>
      </c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9">
        <f t="shared" si="0"/>
        <v>0.09345128539052841</v>
      </c>
      <c r="BA39" s="180">
        <f t="shared" si="1"/>
        <v>251972.583984375</v>
      </c>
      <c r="BB39" s="167"/>
      <c r="BC39" s="181"/>
    </row>
    <row r="40" spans="1:55" ht="12.75">
      <c r="A40" s="163"/>
      <c r="B40" s="177" t="str">
        <f>'[1]Database'!A30</f>
        <v>May 2004</v>
      </c>
      <c r="C40" s="178">
        <f>'[1]Database'!B30</f>
        <v>1979379</v>
      </c>
      <c r="D40" s="178">
        <f>'[1]Database'!C30</f>
        <v>0</v>
      </c>
      <c r="E40" s="178">
        <f>'[1]Database'!D30</f>
        <v>0</v>
      </c>
      <c r="F40" s="178">
        <f>'[1]Database'!E30</f>
        <v>9336.0498046875</v>
      </c>
      <c r="G40" s="178">
        <f>'[1]Database'!F30</f>
        <v>11957.58984375</v>
      </c>
      <c r="H40" s="178">
        <f>'[1]Database'!G30</f>
        <v>17102.01953125</v>
      </c>
      <c r="I40" s="178">
        <f>'[1]Database'!H30</f>
        <v>14224.869140625</v>
      </c>
      <c r="J40" s="178">
        <f>'[1]Database'!I30</f>
        <v>29783.330078125</v>
      </c>
      <c r="K40" s="178">
        <f>'[1]Database'!J30</f>
        <v>29014.421875</v>
      </c>
      <c r="L40" s="178">
        <f>'[1]Database'!K30</f>
        <v>16394.669921875</v>
      </c>
      <c r="M40" s="178">
        <f>'[1]Database'!L30</f>
        <v>4433.93017578125</v>
      </c>
      <c r="N40" s="178">
        <f>'[1]Database'!M30</f>
        <v>0</v>
      </c>
      <c r="O40" s="178">
        <f>'[1]Database'!N30</f>
        <v>0</v>
      </c>
      <c r="P40" s="178">
        <f>'[1]Database'!O30</f>
        <v>0</v>
      </c>
      <c r="Q40" s="178">
        <f>'[1]Database'!P30</f>
        <v>0</v>
      </c>
      <c r="R40" s="178">
        <f>'[1]Database'!Q30</f>
        <v>0</v>
      </c>
      <c r="S40" s="178">
        <f>'[1]Database'!R30</f>
        <v>0</v>
      </c>
      <c r="T40" s="178">
        <f>'[1]Database'!S30</f>
        <v>0</v>
      </c>
      <c r="U40" s="178">
        <f>'[1]Database'!T30</f>
        <v>0</v>
      </c>
      <c r="V40" s="178">
        <f>'[1]Database'!U30</f>
        <v>0</v>
      </c>
      <c r="W40" s="178">
        <f>'[1]Database'!V30</f>
        <v>0</v>
      </c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9">
        <f t="shared" si="0"/>
        <v>0.06681230849225628</v>
      </c>
      <c r="BA40" s="180">
        <f t="shared" si="1"/>
        <v>132246.88037109375</v>
      </c>
      <c r="BB40" s="167"/>
      <c r="BC40" s="181"/>
    </row>
    <row r="41" spans="1:55" ht="12.75">
      <c r="A41" s="163"/>
      <c r="B41" s="177" t="str">
        <f>'[1]Database'!A31</f>
        <v>Jun 2004</v>
      </c>
      <c r="C41" s="178">
        <f>'[1]Database'!B31</f>
        <v>2521062.75</v>
      </c>
      <c r="D41" s="178">
        <f>'[1]Database'!C31</f>
        <v>825.80078125</v>
      </c>
      <c r="E41" s="178">
        <f>'[1]Database'!D31</f>
        <v>8806.1396484375</v>
      </c>
      <c r="F41" s="178">
        <f>'[1]Database'!E31</f>
        <v>7756.150390625</v>
      </c>
      <c r="G41" s="178">
        <f>'[1]Database'!F31</f>
        <v>12290.6806640625</v>
      </c>
      <c r="H41" s="178">
        <f>'[1]Database'!G31</f>
        <v>53701.4296875</v>
      </c>
      <c r="I41" s="178">
        <f>'[1]Database'!H31</f>
        <v>17412.599609375</v>
      </c>
      <c r="J41" s="178">
        <f>'[1]Database'!I31</f>
        <v>28768.28125</v>
      </c>
      <c r="K41" s="178">
        <f>'[1]Database'!J31</f>
        <v>29006.259765625</v>
      </c>
      <c r="L41" s="178">
        <f>'[1]Database'!K31</f>
        <v>2486.510009765625</v>
      </c>
      <c r="M41" s="178">
        <f>'[1]Database'!L31</f>
        <v>0</v>
      </c>
      <c r="N41" s="178">
        <f>'[1]Database'!M31</f>
        <v>0</v>
      </c>
      <c r="O41" s="178">
        <f>'[1]Database'!N31</f>
        <v>0</v>
      </c>
      <c r="P41" s="178">
        <f>'[1]Database'!O31</f>
        <v>0</v>
      </c>
      <c r="Q41" s="178">
        <f>'[1]Database'!P31</f>
        <v>0</v>
      </c>
      <c r="R41" s="178">
        <f>'[1]Database'!Q31</f>
        <v>0</v>
      </c>
      <c r="S41" s="178">
        <f>'[1]Database'!R31</f>
        <v>0</v>
      </c>
      <c r="T41" s="178">
        <f>'[1]Database'!S31</f>
        <v>0</v>
      </c>
      <c r="U41" s="178">
        <f>'[1]Database'!T31</f>
        <v>0</v>
      </c>
      <c r="V41" s="178">
        <f>'[1]Database'!U31</f>
        <v>0</v>
      </c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9">
        <f t="shared" si="0"/>
        <v>0.06388331738535291</v>
      </c>
      <c r="BA41" s="180">
        <f t="shared" si="1"/>
        <v>161053.85180664062</v>
      </c>
      <c r="BB41" s="167"/>
      <c r="BC41" s="181"/>
    </row>
    <row r="42" spans="1:55" ht="12.75">
      <c r="A42" s="163"/>
      <c r="B42" s="177" t="str">
        <f>'[1]Database'!A32</f>
        <v>Jul 2004</v>
      </c>
      <c r="C42" s="178">
        <f>'[1]Database'!B32</f>
        <v>2220441.5</v>
      </c>
      <c r="D42" s="178">
        <f>'[1]Database'!C32</f>
        <v>0</v>
      </c>
      <c r="E42" s="178">
        <f>'[1]Database'!D32</f>
        <v>1344.41064453125</v>
      </c>
      <c r="F42" s="178">
        <f>'[1]Database'!E32</f>
        <v>3220</v>
      </c>
      <c r="G42" s="178">
        <f>'[1]Database'!F32</f>
        <v>5396.72021484375</v>
      </c>
      <c r="H42" s="178">
        <f>'[1]Database'!G32</f>
        <v>25849.41015625</v>
      </c>
      <c r="I42" s="178">
        <f>'[1]Database'!H32</f>
        <v>16033.30859375</v>
      </c>
      <c r="J42" s="178">
        <f>'[1]Database'!I32</f>
        <v>40834.12109375</v>
      </c>
      <c r="K42" s="178">
        <f>'[1]Database'!J32</f>
        <v>6954.240234375</v>
      </c>
      <c r="L42" s="178">
        <f>'[1]Database'!K32</f>
        <v>0</v>
      </c>
      <c r="M42" s="178">
        <f>'[1]Database'!L32</f>
        <v>0</v>
      </c>
      <c r="N42" s="178">
        <f>'[1]Database'!M32</f>
        <v>0</v>
      </c>
      <c r="O42" s="178">
        <f>'[1]Database'!N32</f>
        <v>0</v>
      </c>
      <c r="P42" s="178">
        <f>'[1]Database'!O32</f>
        <v>0</v>
      </c>
      <c r="Q42" s="178">
        <f>'[1]Database'!P32</f>
        <v>0</v>
      </c>
      <c r="R42" s="178">
        <f>'[1]Database'!Q32</f>
        <v>0</v>
      </c>
      <c r="S42" s="178">
        <f>'[1]Database'!R32</f>
        <v>0</v>
      </c>
      <c r="T42" s="178">
        <f>'[1]Database'!S32</f>
        <v>0</v>
      </c>
      <c r="U42" s="178">
        <f>'[1]Database'!T32</f>
        <v>0</v>
      </c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9">
        <f t="shared" si="0"/>
        <v>0.04487045073581088</v>
      </c>
      <c r="BA42" s="180">
        <f t="shared" si="1"/>
        <v>99632.2109375</v>
      </c>
      <c r="BB42" s="167"/>
      <c r="BC42" s="181"/>
    </row>
    <row r="43" spans="1:55" ht="12.75">
      <c r="A43" s="163"/>
      <c r="B43" s="177" t="str">
        <f>'[1]Database'!A33</f>
        <v>Aug 2004</v>
      </c>
      <c r="C43" s="178">
        <f>'[1]Database'!B33</f>
        <v>2210941.25</v>
      </c>
      <c r="D43" s="178">
        <f>'[1]Database'!C33</f>
        <v>0</v>
      </c>
      <c r="E43" s="178">
        <f>'[1]Database'!D33</f>
        <v>1400</v>
      </c>
      <c r="F43" s="178">
        <f>'[1]Database'!E33</f>
        <v>12944.390625</v>
      </c>
      <c r="G43" s="178">
        <f>'[1]Database'!F33</f>
        <v>27084.58984375</v>
      </c>
      <c r="H43" s="178">
        <f>'[1]Database'!G33</f>
        <v>9038.6201171875</v>
      </c>
      <c r="I43" s="178">
        <f>'[1]Database'!H33</f>
        <v>11179.4501953125</v>
      </c>
      <c r="J43" s="178">
        <f>'[1]Database'!I33</f>
        <v>3926.699951171875</v>
      </c>
      <c r="K43" s="178">
        <f>'[1]Database'!J33</f>
        <v>0</v>
      </c>
      <c r="L43" s="178">
        <f>'[1]Database'!K33</f>
        <v>0</v>
      </c>
      <c r="M43" s="178">
        <f>'[1]Database'!L33</f>
        <v>0</v>
      </c>
      <c r="N43" s="178">
        <f>'[1]Database'!M33</f>
        <v>0</v>
      </c>
      <c r="O43" s="178">
        <f>'[1]Database'!N33</f>
        <v>0</v>
      </c>
      <c r="P43" s="178">
        <f>'[1]Database'!O33</f>
        <v>0</v>
      </c>
      <c r="Q43" s="178">
        <f>'[1]Database'!P33</f>
        <v>0</v>
      </c>
      <c r="R43" s="178">
        <f>'[1]Database'!Q33</f>
        <v>0</v>
      </c>
      <c r="S43" s="178">
        <f>'[1]Database'!R33</f>
        <v>0</v>
      </c>
      <c r="T43" s="178">
        <f>'[1]Database'!S33</f>
        <v>0</v>
      </c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9">
        <f t="shared" si="0"/>
        <v>0.029658748613253235</v>
      </c>
      <c r="BA43" s="180">
        <f t="shared" si="1"/>
        <v>65573.75073242188</v>
      </c>
      <c r="BB43" s="167"/>
      <c r="BC43" s="181"/>
    </row>
    <row r="44" spans="1:55" ht="12.75">
      <c r="A44" s="163"/>
      <c r="B44" s="177" t="str">
        <f>'[1]Database'!A34</f>
        <v>Sep 2004</v>
      </c>
      <c r="C44" s="178">
        <f>'[1]Database'!B34</f>
        <v>2217607.5</v>
      </c>
      <c r="D44" s="178">
        <f>'[1]Database'!C34</f>
        <v>-109.759765625</v>
      </c>
      <c r="E44" s="178">
        <f>'[1]Database'!D34</f>
        <v>1411.56005859375</v>
      </c>
      <c r="F44" s="178">
        <f>'[1]Database'!E34</f>
        <v>13038.6796875</v>
      </c>
      <c r="G44" s="178">
        <f>'[1]Database'!F34</f>
        <v>15625.2998046875</v>
      </c>
      <c r="H44" s="178">
        <f>'[1]Database'!G34</f>
        <v>16195.2802734375</v>
      </c>
      <c r="I44" s="178">
        <f>'[1]Database'!H34</f>
        <v>0</v>
      </c>
      <c r="J44" s="178">
        <f>'[1]Database'!I34</f>
        <v>0</v>
      </c>
      <c r="K44" s="178">
        <f>'[1]Database'!J34</f>
        <v>0</v>
      </c>
      <c r="L44" s="178">
        <f>'[1]Database'!K34</f>
        <v>0</v>
      </c>
      <c r="M44" s="178">
        <f>'[1]Database'!L34</f>
        <v>0</v>
      </c>
      <c r="N44" s="178">
        <f>'[1]Database'!M34</f>
        <v>0</v>
      </c>
      <c r="O44" s="178">
        <f>'[1]Database'!N34</f>
        <v>0</v>
      </c>
      <c r="P44" s="178">
        <f>'[1]Database'!O34</f>
        <v>0</v>
      </c>
      <c r="Q44" s="178">
        <f>'[1]Database'!P34</f>
        <v>0</v>
      </c>
      <c r="R44" s="178">
        <f>'[1]Database'!Q34</f>
        <v>0</v>
      </c>
      <c r="S44" s="178">
        <f>'[1]Database'!R34</f>
        <v>0</v>
      </c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9">
        <f t="shared" si="0"/>
        <v>0.020815703436516043</v>
      </c>
      <c r="BA44" s="180">
        <f t="shared" si="1"/>
        <v>46161.06005859375</v>
      </c>
      <c r="BB44" s="167"/>
      <c r="BC44" s="181"/>
    </row>
    <row r="45" spans="1:55" ht="12.75">
      <c r="A45" s="163"/>
      <c r="B45" s="177" t="str">
        <f>'[1]Database'!A35</f>
        <v>Oct 2004</v>
      </c>
      <c r="C45" s="178">
        <f>'[1]Database'!B35</f>
        <v>2364341.25</v>
      </c>
      <c r="D45" s="178">
        <f>'[1]Database'!C35</f>
        <v>0</v>
      </c>
      <c r="E45" s="178">
        <f>'[1]Database'!D35</f>
        <v>-478.98974609375</v>
      </c>
      <c r="F45" s="178">
        <f>'[1]Database'!E35</f>
        <v>4443.7001953125</v>
      </c>
      <c r="G45" s="178">
        <f>'[1]Database'!F35</f>
        <v>6920.43994140625</v>
      </c>
      <c r="H45" s="178">
        <f>'[1]Database'!G35</f>
        <v>146.16000366210938</v>
      </c>
      <c r="I45" s="178">
        <f>'[1]Database'!H35</f>
        <v>0</v>
      </c>
      <c r="J45" s="178">
        <f>'[1]Database'!I35</f>
        <v>0</v>
      </c>
      <c r="K45" s="178">
        <f>'[1]Database'!J35</f>
        <v>0</v>
      </c>
      <c r="L45" s="178">
        <f>'[1]Database'!K35</f>
        <v>0</v>
      </c>
      <c r="M45" s="178">
        <f>'[1]Database'!L35</f>
        <v>0</v>
      </c>
      <c r="N45" s="178">
        <f>'[1]Database'!M35</f>
        <v>0</v>
      </c>
      <c r="O45" s="178">
        <f>'[1]Database'!N35</f>
        <v>0</v>
      </c>
      <c r="P45" s="178">
        <f>'[1]Database'!O35</f>
        <v>0</v>
      </c>
      <c r="Q45" s="178">
        <f>'[1]Database'!P35</f>
        <v>0</v>
      </c>
      <c r="R45" s="178">
        <f>'[1]Database'!Q35</f>
        <v>0</v>
      </c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9">
        <f t="shared" si="0"/>
        <v>0.0046657014482520695</v>
      </c>
      <c r="BA45" s="180">
        <f t="shared" si="1"/>
        <v>11031.31039428711</v>
      </c>
      <c r="BB45" s="167"/>
      <c r="BC45" s="181"/>
    </row>
    <row r="46" spans="1:55" ht="12.75">
      <c r="A46" s="163"/>
      <c r="B46" s="177" t="str">
        <f>'[1]Database'!A36</f>
        <v>Nov 2004</v>
      </c>
      <c r="C46" s="178">
        <f>'[1]Database'!B36</f>
        <v>2277003</v>
      </c>
      <c r="D46" s="178">
        <f>'[1]Database'!C36</f>
        <v>0</v>
      </c>
      <c r="E46" s="178">
        <f>'[1]Database'!D36</f>
        <v>0</v>
      </c>
      <c r="F46" s="178">
        <f>'[1]Database'!E36</f>
        <v>5585.7998046875</v>
      </c>
      <c r="G46" s="178">
        <f>'[1]Database'!F36</f>
        <v>4859.89013671875</v>
      </c>
      <c r="H46" s="178">
        <f>'[1]Database'!G36</f>
        <v>0</v>
      </c>
      <c r="I46" s="178">
        <f>'[1]Database'!H36</f>
        <v>0</v>
      </c>
      <c r="J46" s="178">
        <f>'[1]Database'!I36</f>
        <v>0</v>
      </c>
      <c r="K46" s="178">
        <f>'[1]Database'!J36</f>
        <v>0</v>
      </c>
      <c r="L46" s="178">
        <f>'[1]Database'!K36</f>
        <v>0</v>
      </c>
      <c r="M46" s="178">
        <f>'[1]Database'!L36</f>
        <v>0</v>
      </c>
      <c r="N46" s="178">
        <f>'[1]Database'!M36</f>
        <v>0</v>
      </c>
      <c r="O46" s="178">
        <f>'[1]Database'!N36</f>
        <v>0</v>
      </c>
      <c r="P46" s="178">
        <f>'[1]Database'!O36</f>
        <v>0</v>
      </c>
      <c r="Q46" s="178">
        <f>'[1]Database'!P36</f>
        <v>0</v>
      </c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9">
        <f t="shared" si="0"/>
        <v>0.004587473069383857</v>
      </c>
      <c r="BA46" s="180">
        <f t="shared" si="1"/>
        <v>10445.68994140625</v>
      </c>
      <c r="BB46" s="167"/>
      <c r="BC46" s="181"/>
    </row>
    <row r="47" spans="1:55" ht="12.75">
      <c r="A47" s="163"/>
      <c r="B47" s="177" t="str">
        <f>'[1]Database'!A37</f>
        <v>Dec 2004</v>
      </c>
      <c r="C47" s="178">
        <f>'[1]Database'!B37</f>
        <v>2058159.625</v>
      </c>
      <c r="D47" s="178">
        <f>'[1]Database'!C37</f>
        <v>0</v>
      </c>
      <c r="E47" s="178">
        <f>'[1]Database'!D37</f>
        <v>1362.8800048828125</v>
      </c>
      <c r="F47" s="178">
        <f>'[1]Database'!E37</f>
        <v>0</v>
      </c>
      <c r="G47" s="178">
        <f>'[1]Database'!F37</f>
        <v>0</v>
      </c>
      <c r="H47" s="178">
        <f>'[1]Database'!G37</f>
        <v>0</v>
      </c>
      <c r="I47" s="178">
        <f>'[1]Database'!H37</f>
        <v>0</v>
      </c>
      <c r="J47" s="178">
        <f>'[1]Database'!I37</f>
        <v>0</v>
      </c>
      <c r="K47" s="178">
        <f>'[1]Database'!J37</f>
        <v>0</v>
      </c>
      <c r="L47" s="178">
        <f>'[1]Database'!K37</f>
        <v>0</v>
      </c>
      <c r="M47" s="178">
        <f>'[1]Database'!L37</f>
        <v>0</v>
      </c>
      <c r="N47" s="178">
        <f>'[1]Database'!M37</f>
        <v>0</v>
      </c>
      <c r="O47" s="178">
        <f>'[1]Database'!N37</f>
        <v>0</v>
      </c>
      <c r="P47" s="178">
        <f>'[1]Database'!O37</f>
        <v>0</v>
      </c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9">
        <f t="shared" si="0"/>
        <v>0.0006621838210837571</v>
      </c>
      <c r="BA47" s="180">
        <f t="shared" si="1"/>
        <v>1362.8800048828125</v>
      </c>
      <c r="BB47" s="167"/>
      <c r="BC47" s="181"/>
    </row>
    <row r="48" spans="1:55" ht="12.75">
      <c r="A48" s="163"/>
      <c r="B48" s="177" t="str">
        <f>'[1]Database'!A38</f>
        <v>Jan 2005</v>
      </c>
      <c r="C48" s="178">
        <f>'[1]Database'!B38</f>
        <v>1447638</v>
      </c>
      <c r="D48" s="178">
        <f>'[1]Database'!C38</f>
        <v>0</v>
      </c>
      <c r="E48" s="178">
        <f>'[1]Database'!D38</f>
        <v>0</v>
      </c>
      <c r="F48" s="178">
        <f>'[1]Database'!E38</f>
        <v>0</v>
      </c>
      <c r="G48" s="178">
        <f>'[1]Database'!F38</f>
        <v>0</v>
      </c>
      <c r="H48" s="178">
        <f>'[1]Database'!G38</f>
        <v>0</v>
      </c>
      <c r="I48" s="178">
        <f>'[1]Database'!H38</f>
        <v>0</v>
      </c>
      <c r="J48" s="178">
        <f>'[1]Database'!I38</f>
        <v>0</v>
      </c>
      <c r="K48" s="178">
        <f>'[1]Database'!J38</f>
        <v>0</v>
      </c>
      <c r="L48" s="178">
        <f>'[1]Database'!K38</f>
        <v>0</v>
      </c>
      <c r="M48" s="178">
        <f>'[1]Database'!L38</f>
        <v>0</v>
      </c>
      <c r="N48" s="178">
        <f>'[1]Database'!M38</f>
        <v>0</v>
      </c>
      <c r="O48" s="178">
        <f>'[1]Database'!N38</f>
        <v>0</v>
      </c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9">
        <f t="shared" si="0"/>
        <v>0</v>
      </c>
      <c r="BA48" s="180">
        <f t="shared" si="1"/>
        <v>0</v>
      </c>
      <c r="BB48" s="167"/>
      <c r="BC48" s="181"/>
    </row>
    <row r="49" spans="1:55" ht="12.75">
      <c r="A49" s="163"/>
      <c r="B49" s="177" t="str">
        <f>'[1]Database'!A39</f>
        <v>Feb 2005</v>
      </c>
      <c r="C49" s="178">
        <f>'[1]Database'!B39</f>
        <v>2469090</v>
      </c>
      <c r="D49" s="178">
        <f>'[1]Database'!C39</f>
        <v>0</v>
      </c>
      <c r="E49" s="178">
        <f>'[1]Database'!D39</f>
        <v>0</v>
      </c>
      <c r="F49" s="178">
        <f>'[1]Database'!E39</f>
        <v>0</v>
      </c>
      <c r="G49" s="178">
        <f>'[1]Database'!F39</f>
        <v>0</v>
      </c>
      <c r="H49" s="178">
        <f>'[1]Database'!G39</f>
        <v>0</v>
      </c>
      <c r="I49" s="178">
        <f>'[1]Database'!H39</f>
        <v>0</v>
      </c>
      <c r="J49" s="178">
        <f>'[1]Database'!I39</f>
        <v>0</v>
      </c>
      <c r="K49" s="178">
        <f>'[1]Database'!J39</f>
        <v>0</v>
      </c>
      <c r="L49" s="178">
        <f>'[1]Database'!K39</f>
        <v>0</v>
      </c>
      <c r="M49" s="178">
        <f>'[1]Database'!L39</f>
        <v>0</v>
      </c>
      <c r="N49" s="178">
        <f>'[1]Database'!M39</f>
        <v>0</v>
      </c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9">
        <f t="shared" si="0"/>
        <v>0</v>
      </c>
      <c r="BA49" s="180">
        <f t="shared" si="1"/>
        <v>0</v>
      </c>
      <c r="BB49" s="167"/>
      <c r="BC49" s="181"/>
    </row>
    <row r="50" spans="1:55" ht="12.75">
      <c r="A50" s="163"/>
      <c r="B50" s="177" t="str">
        <f>'[1]Database'!A40</f>
        <v>Mar 2005</v>
      </c>
      <c r="C50" s="178">
        <f>'[1]Database'!B40</f>
        <v>312190.3125</v>
      </c>
      <c r="D50" s="178">
        <f>'[1]Database'!C40</f>
        <v>0</v>
      </c>
      <c r="E50" s="178">
        <f>'[1]Database'!D40</f>
        <v>0</v>
      </c>
      <c r="F50" s="178">
        <f>'[1]Database'!E40</f>
        <v>0</v>
      </c>
      <c r="G50" s="178">
        <f>'[1]Database'!F40</f>
        <v>0</v>
      </c>
      <c r="H50" s="178">
        <f>'[1]Database'!G40</f>
        <v>0</v>
      </c>
      <c r="I50" s="178">
        <f>'[1]Database'!H40</f>
        <v>0</v>
      </c>
      <c r="J50" s="178">
        <f>'[1]Database'!I40</f>
        <v>0</v>
      </c>
      <c r="K50" s="178">
        <f>'[1]Database'!J40</f>
        <v>0</v>
      </c>
      <c r="L50" s="178">
        <f>'[1]Database'!K40</f>
        <v>0</v>
      </c>
      <c r="M50" s="178">
        <f>'[1]Database'!L40</f>
        <v>0</v>
      </c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9">
        <f t="shared" si="0"/>
        <v>0</v>
      </c>
      <c r="BA50" s="180">
        <f t="shared" si="1"/>
        <v>0</v>
      </c>
      <c r="BB50" s="167"/>
      <c r="BC50" s="181"/>
    </row>
    <row r="51" spans="1:55" ht="12.75">
      <c r="A51" s="163"/>
      <c r="B51" s="177" t="str">
        <f>'[1]Database'!A41</f>
        <v>Apr 2005</v>
      </c>
      <c r="C51" s="178">
        <f>'[1]Database'!B41</f>
        <v>0</v>
      </c>
      <c r="D51" s="178">
        <f>IF('[1]Database'!C41&lt;0,0,'[1]Database'!C41)</f>
        <v>0</v>
      </c>
      <c r="E51" s="178">
        <f>'[1]Database'!D41</f>
        <v>0</v>
      </c>
      <c r="F51" s="178">
        <f>'[1]Database'!E41</f>
        <v>0</v>
      </c>
      <c r="G51" s="178">
        <f>'[1]Database'!F41</f>
        <v>0</v>
      </c>
      <c r="H51" s="178">
        <f>'[1]Database'!G41</f>
        <v>0</v>
      </c>
      <c r="I51" s="178">
        <f>'[1]Database'!H41</f>
        <v>0</v>
      </c>
      <c r="J51" s="178">
        <f>'[1]Database'!I41</f>
        <v>0</v>
      </c>
      <c r="K51" s="178">
        <f>'[1]Database'!J41</f>
        <v>0</v>
      </c>
      <c r="L51" s="178">
        <f>'[1]Database'!K41</f>
        <v>0</v>
      </c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9">
        <f t="shared" si="0"/>
        <v>0</v>
      </c>
      <c r="BA51" s="180">
        <f t="shared" si="1"/>
        <v>0</v>
      </c>
      <c r="BB51" s="167"/>
      <c r="BC51" s="181"/>
    </row>
    <row r="52" spans="1:55" ht="12.75">
      <c r="A52" s="163"/>
      <c r="B52" s="177" t="str">
        <f>'[1]Database'!A42</f>
        <v>May 2005</v>
      </c>
      <c r="C52" s="178">
        <f>'[1]Database'!B42</f>
        <v>0</v>
      </c>
      <c r="D52" s="178">
        <f>'[1]Database'!C42</f>
        <v>0</v>
      </c>
      <c r="E52" s="178">
        <f>'[1]Database'!D42</f>
        <v>0</v>
      </c>
      <c r="F52" s="178">
        <f>'[1]Database'!E42</f>
        <v>0</v>
      </c>
      <c r="G52" s="178">
        <f>'[1]Database'!F42</f>
        <v>0</v>
      </c>
      <c r="H52" s="178">
        <f>'[1]Database'!G42</f>
        <v>0</v>
      </c>
      <c r="I52" s="178">
        <f>'[1]Database'!H42</f>
        <v>0</v>
      </c>
      <c r="J52" s="178">
        <f>'[1]Database'!I42</f>
        <v>0</v>
      </c>
      <c r="K52" s="178">
        <f>'[1]Database'!J42</f>
        <v>0</v>
      </c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9">
        <f t="shared" si="0"/>
        <v>0</v>
      </c>
      <c r="BA52" s="180">
        <f t="shared" si="1"/>
        <v>0</v>
      </c>
      <c r="BB52" s="167"/>
      <c r="BC52" s="181"/>
    </row>
    <row r="53" spans="1:55" ht="12.75">
      <c r="A53" s="163"/>
      <c r="B53" s="177" t="str">
        <f>'[1]Database'!A43</f>
        <v>Jun 2005</v>
      </c>
      <c r="C53" s="178">
        <f>'[1]Database'!B43</f>
        <v>0</v>
      </c>
      <c r="D53" s="178">
        <f>'[1]Database'!C43</f>
        <v>0</v>
      </c>
      <c r="E53" s="178">
        <f>'[1]Database'!D43</f>
        <v>0</v>
      </c>
      <c r="F53" s="178">
        <f>'[1]Database'!E43</f>
        <v>0</v>
      </c>
      <c r="G53" s="178">
        <f>'[1]Database'!F43</f>
        <v>0</v>
      </c>
      <c r="H53" s="178">
        <f>'[1]Database'!G43</f>
        <v>0</v>
      </c>
      <c r="I53" s="178">
        <f>'[1]Database'!H43</f>
        <v>0</v>
      </c>
      <c r="J53" s="178">
        <f>'[1]Database'!I43</f>
        <v>0</v>
      </c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9">
        <f t="shared" si="0"/>
        <v>0</v>
      </c>
      <c r="BA53" s="180">
        <f t="shared" si="1"/>
        <v>0</v>
      </c>
      <c r="BB53" s="167"/>
      <c r="BC53" s="181"/>
    </row>
    <row r="54" spans="1:55" ht="12.75">
      <c r="A54" s="163"/>
      <c r="B54" s="177" t="str">
        <f>'[1]Database'!A44</f>
        <v>Jul 2005</v>
      </c>
      <c r="C54" s="178">
        <f>'[1]Database'!B44</f>
        <v>0</v>
      </c>
      <c r="D54" s="178">
        <f>'[1]Database'!C44</f>
        <v>0</v>
      </c>
      <c r="E54" s="178">
        <f>'[1]Database'!D44</f>
        <v>0</v>
      </c>
      <c r="F54" s="178">
        <f>'[1]Database'!E44</f>
        <v>0</v>
      </c>
      <c r="G54" s="178">
        <f>'[1]Database'!F44</f>
        <v>0</v>
      </c>
      <c r="H54" s="178">
        <f>'[1]Database'!G44</f>
        <v>0</v>
      </c>
      <c r="I54" s="178">
        <f>'[1]Database'!H44</f>
        <v>0</v>
      </c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9">
        <f t="shared" si="0"/>
        <v>0</v>
      </c>
      <c r="BA54" s="180">
        <f t="shared" si="1"/>
        <v>0</v>
      </c>
      <c r="BB54" s="167"/>
      <c r="BC54" s="181"/>
    </row>
    <row r="55" spans="1:55" ht="12.75">
      <c r="A55" s="163"/>
      <c r="B55" s="177" t="str">
        <f>'[1]Database'!A45</f>
        <v>Aug 2005</v>
      </c>
      <c r="C55" s="178">
        <f>'[1]Database'!B45</f>
        <v>0</v>
      </c>
      <c r="D55" s="178">
        <f>'[1]Database'!C45</f>
        <v>0</v>
      </c>
      <c r="E55" s="178">
        <f>'[1]Database'!D45</f>
        <v>0</v>
      </c>
      <c r="F55" s="178">
        <f>'[1]Database'!E45</f>
        <v>0</v>
      </c>
      <c r="G55" s="178">
        <f>'[1]Database'!F45</f>
        <v>0</v>
      </c>
      <c r="H55" s="178">
        <f>'[1]Database'!G45</f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9">
        <f t="shared" si="0"/>
        <v>0</v>
      </c>
      <c r="BA55" s="180">
        <f t="shared" si="1"/>
        <v>0</v>
      </c>
      <c r="BB55" s="167"/>
      <c r="BC55" s="181"/>
    </row>
    <row r="56" spans="1:55" ht="12.75">
      <c r="A56" s="163"/>
      <c r="B56" s="177" t="str">
        <f>'[1]Database'!A46</f>
        <v>Sep 2005</v>
      </c>
      <c r="C56" s="178">
        <f>'[1]Database'!B46</f>
        <v>0</v>
      </c>
      <c r="D56" s="178">
        <f>'[1]Database'!C46</f>
        <v>0</v>
      </c>
      <c r="E56" s="178">
        <f>'[1]Database'!D46</f>
        <v>0</v>
      </c>
      <c r="F56" s="178">
        <f>'[1]Database'!E46</f>
        <v>0</v>
      </c>
      <c r="G56" s="178">
        <f>'[1]Database'!F46</f>
        <v>0</v>
      </c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9">
        <f t="shared" si="0"/>
        <v>0</v>
      </c>
      <c r="BA56" s="180">
        <f t="shared" si="1"/>
        <v>0</v>
      </c>
      <c r="BB56" s="167"/>
      <c r="BC56" s="181"/>
    </row>
    <row r="57" spans="1:55" ht="12.75">
      <c r="A57" s="163"/>
      <c r="B57" s="177" t="str">
        <f>'[1]Database'!A47</f>
        <v>Oct 2005</v>
      </c>
      <c r="C57" s="178">
        <f>'[1]Database'!B47</f>
        <v>0</v>
      </c>
      <c r="D57" s="178">
        <f>'[1]Database'!C47</f>
        <v>0</v>
      </c>
      <c r="E57" s="178">
        <f>'[1]Database'!D47</f>
        <v>0</v>
      </c>
      <c r="F57" s="178">
        <f>'[1]Database'!E47</f>
        <v>0</v>
      </c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9">
        <f t="shared" si="0"/>
        <v>0</v>
      </c>
      <c r="BA57" s="180">
        <f t="shared" si="1"/>
        <v>0</v>
      </c>
      <c r="BB57" s="167"/>
      <c r="BC57" s="181"/>
    </row>
    <row r="58" spans="1:55" ht="12.75">
      <c r="A58" s="163"/>
      <c r="B58" s="177" t="str">
        <f>'[1]Database'!A48</f>
        <v>Nov 2005</v>
      </c>
      <c r="C58" s="178">
        <f>'[1]Database'!B48</f>
        <v>0</v>
      </c>
      <c r="D58" s="178">
        <f>'[1]Database'!C48</f>
        <v>0</v>
      </c>
      <c r="E58" s="178">
        <f>'[1]Database'!D48</f>
        <v>0</v>
      </c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9">
        <f t="shared" si="0"/>
        <v>0</v>
      </c>
      <c r="BA58" s="180">
        <f t="shared" si="1"/>
        <v>0</v>
      </c>
      <c r="BB58" s="167"/>
      <c r="BC58" s="181"/>
    </row>
    <row r="59" spans="1:55" ht="12.75">
      <c r="A59" s="163"/>
      <c r="B59" s="177" t="str">
        <f>'[1]Database'!A49</f>
        <v>Dec 2005</v>
      </c>
      <c r="C59" s="178">
        <f>'[1]Database'!B49</f>
        <v>0</v>
      </c>
      <c r="D59" s="178">
        <f>'[1]Database'!C49</f>
        <v>0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9">
        <f t="shared" si="0"/>
        <v>0</v>
      </c>
      <c r="BA59" s="180">
        <f t="shared" si="1"/>
        <v>0</v>
      </c>
      <c r="BB59" s="167"/>
      <c r="BC59" s="181"/>
    </row>
    <row r="60" spans="1:55" ht="12.75">
      <c r="A60" s="163"/>
      <c r="B60" s="182" t="s">
        <v>123</v>
      </c>
      <c r="C60" s="178">
        <f aca="true" t="shared" si="2" ref="C60:AH60">SUM(C12:C59)</f>
        <v>75510401.1875</v>
      </c>
      <c r="D60" s="178">
        <f t="shared" si="2"/>
        <v>50515.35498046875</v>
      </c>
      <c r="E60" s="183">
        <f t="shared" si="2"/>
        <v>128582.49353027344</v>
      </c>
      <c r="F60" s="178">
        <f t="shared" si="2"/>
        <v>325500.15393066406</v>
      </c>
      <c r="G60" s="183">
        <f t="shared" si="2"/>
        <v>526476.5786132812</v>
      </c>
      <c r="H60" s="183">
        <f t="shared" si="2"/>
        <v>761865.0340270996</v>
      </c>
      <c r="I60" s="178">
        <f t="shared" si="2"/>
        <v>602359.8896484375</v>
      </c>
      <c r="J60" s="183">
        <f t="shared" si="2"/>
        <v>625236.7546386719</v>
      </c>
      <c r="K60" s="178">
        <f t="shared" si="2"/>
        <v>733698.8735351562</v>
      </c>
      <c r="L60" s="178">
        <f t="shared" si="2"/>
        <v>611415.4035644531</v>
      </c>
      <c r="M60" s="178">
        <f t="shared" si="2"/>
        <v>572547.5007324219</v>
      </c>
      <c r="N60" s="178">
        <f t="shared" si="2"/>
        <v>429212.0520019531</v>
      </c>
      <c r="O60" s="178">
        <f t="shared" si="2"/>
        <v>383181.88818359375</v>
      </c>
      <c r="P60" s="178">
        <f t="shared" si="2"/>
        <v>296720.6396484375</v>
      </c>
      <c r="Q60" s="178">
        <f t="shared" si="2"/>
        <v>203145.06005859375</v>
      </c>
      <c r="R60" s="178">
        <f t="shared" si="2"/>
        <v>245453.31762695312</v>
      </c>
      <c r="S60" s="178">
        <f t="shared" si="2"/>
        <v>189963.9015197754</v>
      </c>
      <c r="T60" s="178">
        <f t="shared" si="2"/>
        <v>148901.42016601562</v>
      </c>
      <c r="U60" s="178">
        <f t="shared" si="2"/>
        <v>157299.83172607422</v>
      </c>
      <c r="V60" s="178">
        <f t="shared" si="2"/>
        <v>72257.41870117188</v>
      </c>
      <c r="W60" s="178">
        <f t="shared" si="2"/>
        <v>73278.79025268555</v>
      </c>
      <c r="X60" s="178">
        <f t="shared" si="2"/>
        <v>86131.52172851562</v>
      </c>
      <c r="Y60" s="178">
        <f t="shared" si="2"/>
        <v>47524.099365234375</v>
      </c>
      <c r="Z60" s="178">
        <f t="shared" si="2"/>
        <v>49670.31042480469</v>
      </c>
      <c r="AA60" s="178">
        <f t="shared" si="2"/>
        <v>23766.079833984375</v>
      </c>
      <c r="AB60" s="178">
        <f t="shared" si="2"/>
        <v>22441.369873046875</v>
      </c>
      <c r="AC60" s="178">
        <f t="shared" si="2"/>
        <v>16764.089965820312</v>
      </c>
      <c r="AD60" s="178">
        <f t="shared" si="2"/>
        <v>10440.919677734375</v>
      </c>
      <c r="AE60" s="178">
        <f t="shared" si="2"/>
        <v>20313.64013671875</v>
      </c>
      <c r="AF60" s="178">
        <f t="shared" si="2"/>
        <v>15358.43994140625</v>
      </c>
      <c r="AG60" s="178">
        <f t="shared" si="2"/>
        <v>5706.200134277344</v>
      </c>
      <c r="AH60" s="178">
        <f t="shared" si="2"/>
        <v>7254.1298828125</v>
      </c>
      <c r="AI60" s="178">
        <f aca="true" t="shared" si="3" ref="AI60:AY60">SUM(AI12:AI59)</f>
        <v>3887.22998046875</v>
      </c>
      <c r="AJ60" s="178">
        <f t="shared" si="3"/>
        <v>0</v>
      </c>
      <c r="AK60" s="178">
        <f t="shared" si="3"/>
        <v>0</v>
      </c>
      <c r="AL60" s="178">
        <f t="shared" si="3"/>
        <v>0</v>
      </c>
      <c r="AM60" s="178">
        <f t="shared" si="3"/>
        <v>166.42999267578125</v>
      </c>
      <c r="AN60" s="178">
        <f t="shared" si="3"/>
        <v>0</v>
      </c>
      <c r="AO60" s="178">
        <f t="shared" si="3"/>
        <v>0</v>
      </c>
      <c r="AP60" s="178">
        <f t="shared" si="3"/>
        <v>0</v>
      </c>
      <c r="AQ60" s="178">
        <f t="shared" si="3"/>
        <v>0</v>
      </c>
      <c r="AR60" s="178">
        <f t="shared" si="3"/>
        <v>0</v>
      </c>
      <c r="AS60" s="178">
        <f t="shared" si="3"/>
        <v>0</v>
      </c>
      <c r="AT60" s="178">
        <f t="shared" si="3"/>
        <v>0</v>
      </c>
      <c r="AU60" s="178">
        <f t="shared" si="3"/>
        <v>0</v>
      </c>
      <c r="AV60" s="178">
        <f t="shared" si="3"/>
        <v>0</v>
      </c>
      <c r="AW60" s="178">
        <f t="shared" si="3"/>
        <v>0</v>
      </c>
      <c r="AX60" s="178">
        <f t="shared" si="3"/>
        <v>0</v>
      </c>
      <c r="AY60" s="178">
        <f t="shared" si="3"/>
        <v>0</v>
      </c>
      <c r="AZ60" s="179">
        <f>SUMIF(D60:AY60,"&lt;&gt;0")/SUMIF(BA12:BA59,"&lt;&gt;0",C12:C59)</f>
        <v>0.10447365174884041</v>
      </c>
      <c r="BA60" s="184">
        <f>SUM(BA12:BA59)</f>
        <v>7447036.818023682</v>
      </c>
      <c r="BB60" s="167"/>
      <c r="BC60" s="181"/>
    </row>
    <row r="61" spans="1:54" ht="13.5" thickBot="1">
      <c r="A61" s="185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86"/>
      <c r="BA61" s="186"/>
      <c r="BB61" s="187"/>
    </row>
    <row r="63" spans="2:53" ht="12.75">
      <c r="B63" s="155" t="s">
        <v>199</v>
      </c>
      <c r="C63" s="188"/>
      <c r="D63" s="189">
        <f>D60/$BA$60</f>
        <v>0.0067832825612207295</v>
      </c>
      <c r="E63" s="189">
        <f aca="true" t="shared" si="4" ref="E63:AM63">E60/$BA$60</f>
        <v>0.017266262632013824</v>
      </c>
      <c r="F63" s="189">
        <f t="shared" si="4"/>
        <v>0.04370868063158661</v>
      </c>
      <c r="G63" s="189">
        <f t="shared" si="4"/>
        <v>0.0706961159825445</v>
      </c>
      <c r="H63" s="189">
        <f t="shared" si="4"/>
        <v>0.10230445379069386</v>
      </c>
      <c r="I63" s="189">
        <f t="shared" si="4"/>
        <v>0.08088584820617198</v>
      </c>
      <c r="J63" s="189">
        <f t="shared" si="4"/>
        <v>0.08395779018111518</v>
      </c>
      <c r="K63" s="189">
        <f t="shared" si="4"/>
        <v>0.0985222567665333</v>
      </c>
      <c r="L63" s="189">
        <f t="shared" si="4"/>
        <v>0.08210183708031035</v>
      </c>
      <c r="M63" s="189">
        <f t="shared" si="4"/>
        <v>0.07688259299950209</v>
      </c>
      <c r="N63" s="189">
        <f t="shared" si="4"/>
        <v>0.05763527997648047</v>
      </c>
      <c r="O63" s="189">
        <f t="shared" si="4"/>
        <v>0.051454276049260055</v>
      </c>
      <c r="P63" s="189">
        <f t="shared" si="4"/>
        <v>0.039844121480680714</v>
      </c>
      <c r="Q63" s="189">
        <f t="shared" si="4"/>
        <v>0.027278643173474337</v>
      </c>
      <c r="R63" s="189">
        <f t="shared" si="4"/>
        <v>0.03295986358398216</v>
      </c>
      <c r="S63" s="189">
        <f t="shared" si="4"/>
        <v>0.025508656148982036</v>
      </c>
      <c r="T63" s="189">
        <f t="shared" si="4"/>
        <v>0.019994720558603542</v>
      </c>
      <c r="U63" s="189">
        <f t="shared" si="4"/>
        <v>0.021122472678712895</v>
      </c>
      <c r="V63" s="189">
        <f t="shared" si="4"/>
        <v>0.00970284160893242</v>
      </c>
      <c r="W63" s="189">
        <f t="shared" si="4"/>
        <v>0.009839993012433166</v>
      </c>
      <c r="X63" s="189">
        <f t="shared" si="4"/>
        <v>0.01156587832627011</v>
      </c>
      <c r="Y63" s="189">
        <f t="shared" si="4"/>
        <v>0.006381611978903371</v>
      </c>
      <c r="Z63" s="189">
        <f t="shared" si="4"/>
        <v>0.006669808628391655</v>
      </c>
      <c r="AA63" s="189">
        <f t="shared" si="4"/>
        <v>0.0031913471646151325</v>
      </c>
      <c r="AB63" s="189">
        <f t="shared" si="4"/>
        <v>0.0030134629949368826</v>
      </c>
      <c r="AC63" s="189">
        <f t="shared" si="4"/>
        <v>0.002251108779970987</v>
      </c>
      <c r="AD63" s="189">
        <f t="shared" si="4"/>
        <v>0.0014020233729024614</v>
      </c>
      <c r="AE63" s="189">
        <f t="shared" si="4"/>
        <v>0.0027277480470560703</v>
      </c>
      <c r="AF63" s="189">
        <f t="shared" si="4"/>
        <v>0.0020623558492734997</v>
      </c>
      <c r="AG63" s="189">
        <f t="shared" si="4"/>
        <v>0.0007662376692521407</v>
      </c>
      <c r="AH63" s="189">
        <f t="shared" si="4"/>
        <v>0.0009740961485856631</v>
      </c>
      <c r="AI63" s="189">
        <f t="shared" si="4"/>
        <v>0.0005219834513320367</v>
      </c>
      <c r="AJ63" s="189">
        <f t="shared" si="4"/>
        <v>0</v>
      </c>
      <c r="AK63" s="189">
        <f t="shared" si="4"/>
        <v>0</v>
      </c>
      <c r="AL63" s="189">
        <f t="shared" si="4"/>
        <v>0</v>
      </c>
      <c r="AM63" s="189">
        <f t="shared" si="4"/>
        <v>2.2348485275778315E-05</v>
      </c>
      <c r="AO63" s="190"/>
      <c r="AP63" s="191"/>
      <c r="AZ63" s="189"/>
      <c r="BA63" s="189"/>
    </row>
    <row r="64" spans="2:53" ht="12.75">
      <c r="B64" s="155" t="e">
        <f>"Loss Rate "&amp;Assumptions!#REF!</f>
        <v>#REF!</v>
      </c>
      <c r="D64" s="191">
        <f>Assumptions!$C$29*D63</f>
        <v>0.0016958206403051824</v>
      </c>
      <c r="E64" s="191">
        <f>Assumptions!$C$29*E63</f>
        <v>0.004316565658003456</v>
      </c>
      <c r="F64" s="191">
        <f>Assumptions!$C$29*F63</f>
        <v>0.010927170157896652</v>
      </c>
      <c r="G64" s="191">
        <f>Assumptions!$C$29*G63</f>
        <v>0.017674028995636124</v>
      </c>
      <c r="H64" s="191">
        <f>Assumptions!$C$29*H63</f>
        <v>0.025576113447673465</v>
      </c>
      <c r="I64" s="191">
        <f>Assumptions!$C$29*I63</f>
        <v>0.020221462051542995</v>
      </c>
      <c r="J64" s="191">
        <f>Assumptions!$C$29*J63</f>
        <v>0.020989447545278796</v>
      </c>
      <c r="K64" s="191">
        <f>Assumptions!$C$29*K63</f>
        <v>0.024630564191633324</v>
      </c>
      <c r="L64" s="191">
        <f>Assumptions!$C$29*L63</f>
        <v>0.020525459270077588</v>
      </c>
      <c r="M64" s="191">
        <f>Assumptions!$C$29*M63</f>
        <v>0.019220648249875523</v>
      </c>
      <c r="N64" s="191">
        <f>Assumptions!$C$29*N63</f>
        <v>0.014408819994120118</v>
      </c>
      <c r="O64" s="191">
        <f>Assumptions!$C$29*O63</f>
        <v>0.012863569012315014</v>
      </c>
      <c r="P64" s="191">
        <f>Assumptions!$C$29*P63</f>
        <v>0.009961030370170178</v>
      </c>
      <c r="Q64" s="191">
        <f>Assumptions!$C$29*Q63</f>
        <v>0.006819660793368584</v>
      </c>
      <c r="R64" s="191">
        <f>Assumptions!$C$29*R63</f>
        <v>0.00823996589599554</v>
      </c>
      <c r="S64" s="191">
        <f>Assumptions!$C$29*S63</f>
        <v>0.006377164037245509</v>
      </c>
      <c r="T64" s="191">
        <f>Assumptions!$C$29*T63</f>
        <v>0.004998680139650886</v>
      </c>
      <c r="U64" s="191">
        <f>Assumptions!$C$29*U63</f>
        <v>0.005280618169678224</v>
      </c>
      <c r="V64" s="191">
        <f>Assumptions!$C$29*V63</f>
        <v>0.002425710402233105</v>
      </c>
      <c r="W64" s="191">
        <f>Assumptions!$C$29*W63</f>
        <v>0.0024599982531082914</v>
      </c>
      <c r="X64" s="191">
        <f>Assumptions!$C$29*X63</f>
        <v>0.0028914695815675275</v>
      </c>
      <c r="Y64" s="191">
        <f>Assumptions!$C$29*Y63</f>
        <v>0.0015954029947258428</v>
      </c>
      <c r="Z64" s="191">
        <f>Assumptions!$C$29*Z63</f>
        <v>0.0016674521570979137</v>
      </c>
      <c r="AA64" s="191">
        <f>Assumptions!$C$29*AA63</f>
        <v>0.0007978367911537831</v>
      </c>
      <c r="AB64" s="191">
        <f>Assumptions!$C$29*AB63</f>
        <v>0.0007533657487342207</v>
      </c>
      <c r="AC64" s="191">
        <f>Assumptions!$C$29*AC63</f>
        <v>0.0005627771949927468</v>
      </c>
      <c r="AD64" s="191">
        <f>Assumptions!$C$29*AD63</f>
        <v>0.00035050584322561534</v>
      </c>
      <c r="AE64" s="191">
        <f>Assumptions!$C$29*AE63</f>
        <v>0.0006819370117640176</v>
      </c>
      <c r="AF64" s="191">
        <f>Assumptions!$C$29*AF63</f>
        <v>0.0005155889623183749</v>
      </c>
      <c r="AG64" s="191">
        <f>Assumptions!$C$29*AG63</f>
        <v>0.00019155941731303518</v>
      </c>
      <c r="AH64" s="191">
        <f>Assumptions!$C$29*AH63</f>
        <v>0.00024352403714641578</v>
      </c>
      <c r="AI64" s="191">
        <f>Assumptions!$C$29*AI63</f>
        <v>0.00013049586283300917</v>
      </c>
      <c r="AJ64" s="191">
        <f>Assumptions!$C$29*AJ63</f>
        <v>0</v>
      </c>
      <c r="AK64" s="191">
        <f>Assumptions!$C$29*AK63</f>
        <v>0</v>
      </c>
      <c r="AL64" s="191">
        <f>Assumptions!$C$29*AL63</f>
        <v>0</v>
      </c>
      <c r="AM64" s="191">
        <f>Assumptions!$C$29*AM63</f>
        <v>5.587121318944579E-06</v>
      </c>
      <c r="AZ64" s="189"/>
      <c r="BA64" s="189"/>
    </row>
    <row r="65" spans="2:53" ht="12.75">
      <c r="B65" s="155" t="s">
        <v>221</v>
      </c>
      <c r="D65" s="191">
        <f>D64</f>
        <v>0.0016958206403051824</v>
      </c>
      <c r="E65" s="191">
        <f>E64+D65</f>
        <v>0.006012386298308638</v>
      </c>
      <c r="F65" s="191">
        <f>F64+E65</f>
        <v>0.01693955645620529</v>
      </c>
      <c r="G65" s="191">
        <f>G64+F65</f>
        <v>0.034613585451841414</v>
      </c>
      <c r="H65" s="191">
        <f aca="true" t="shared" si="5" ref="H65:AM65">H64+G65</f>
        <v>0.06018969889951488</v>
      </c>
      <c r="I65" s="191">
        <f t="shared" si="5"/>
        <v>0.08041116095105788</v>
      </c>
      <c r="J65" s="191">
        <f t="shared" si="5"/>
        <v>0.10140060849633667</v>
      </c>
      <c r="K65" s="191">
        <f t="shared" si="5"/>
        <v>0.12603117268796998</v>
      </c>
      <c r="L65" s="191">
        <f t="shared" si="5"/>
        <v>0.14655663195804758</v>
      </c>
      <c r="M65" s="191">
        <f t="shared" si="5"/>
        <v>0.1657772802079231</v>
      </c>
      <c r="N65" s="191">
        <f t="shared" si="5"/>
        <v>0.1801861002020432</v>
      </c>
      <c r="O65" s="191">
        <f t="shared" si="5"/>
        <v>0.1930496692143582</v>
      </c>
      <c r="P65" s="191">
        <f t="shared" si="5"/>
        <v>0.2030106995845284</v>
      </c>
      <c r="Q65" s="191">
        <f t="shared" si="5"/>
        <v>0.20983036037789699</v>
      </c>
      <c r="R65" s="191">
        <f t="shared" si="5"/>
        <v>0.21807032627389253</v>
      </c>
      <c r="S65" s="191">
        <f t="shared" si="5"/>
        <v>0.22444749031113803</v>
      </c>
      <c r="T65" s="191">
        <f t="shared" si="5"/>
        <v>0.2294461704507889</v>
      </c>
      <c r="U65" s="191">
        <f t="shared" si="5"/>
        <v>0.23472678862046714</v>
      </c>
      <c r="V65" s="191">
        <f t="shared" si="5"/>
        <v>0.23715249902270025</v>
      </c>
      <c r="W65" s="191">
        <f t="shared" si="5"/>
        <v>0.23961249727580855</v>
      </c>
      <c r="X65" s="191">
        <f t="shared" si="5"/>
        <v>0.24250396685737607</v>
      </c>
      <c r="Y65" s="191">
        <f t="shared" si="5"/>
        <v>0.24409936985210193</v>
      </c>
      <c r="Z65" s="191">
        <f t="shared" si="5"/>
        <v>0.24576682200919983</v>
      </c>
      <c r="AA65" s="191">
        <f t="shared" si="5"/>
        <v>0.2465646588003536</v>
      </c>
      <c r="AB65" s="191">
        <f t="shared" si="5"/>
        <v>0.24731802454908783</v>
      </c>
      <c r="AC65" s="191">
        <f t="shared" si="5"/>
        <v>0.2478808017440806</v>
      </c>
      <c r="AD65" s="191">
        <f t="shared" si="5"/>
        <v>0.24823130758730622</v>
      </c>
      <c r="AE65" s="191">
        <f t="shared" si="5"/>
        <v>0.24891324459907024</v>
      </c>
      <c r="AF65" s="191">
        <f t="shared" si="5"/>
        <v>0.24942883356138862</v>
      </c>
      <c r="AG65" s="191">
        <f t="shared" si="5"/>
        <v>0.24962039297870164</v>
      </c>
      <c r="AH65" s="191">
        <f t="shared" si="5"/>
        <v>0.24986391701584806</v>
      </c>
      <c r="AI65" s="191">
        <f t="shared" si="5"/>
        <v>0.24999441287868107</v>
      </c>
      <c r="AJ65" s="191">
        <f t="shared" si="5"/>
        <v>0.24999441287868107</v>
      </c>
      <c r="AK65" s="191">
        <f t="shared" si="5"/>
        <v>0.24999441287868107</v>
      </c>
      <c r="AL65" s="191">
        <f t="shared" si="5"/>
        <v>0.24999441287868107</v>
      </c>
      <c r="AM65" s="191">
        <f t="shared" si="5"/>
        <v>0.25</v>
      </c>
      <c r="AN65" s="189"/>
      <c r="AP65" s="189"/>
      <c r="AZ65" s="192"/>
      <c r="BA65" s="153"/>
    </row>
    <row r="66" spans="2:53" ht="12.75">
      <c r="B66" s="155" t="e">
        <f>Assumptions!#REF!</f>
        <v>#REF!</v>
      </c>
      <c r="C66" s="193">
        <f>Assumptions!C15*Assumptions!C14</f>
        <v>225000</v>
      </c>
      <c r="D66" s="194">
        <f aca="true" t="shared" si="6" ref="D66:N66">ROUND($C$66*D65,0)</f>
        <v>382</v>
      </c>
      <c r="E66" s="194">
        <f t="shared" si="6"/>
        <v>1353</v>
      </c>
      <c r="F66" s="194">
        <f t="shared" si="6"/>
        <v>3811</v>
      </c>
      <c r="G66" s="194">
        <f t="shared" si="6"/>
        <v>7788</v>
      </c>
      <c r="H66" s="194">
        <f t="shared" si="6"/>
        <v>13543</v>
      </c>
      <c r="I66" s="194">
        <f t="shared" si="6"/>
        <v>18093</v>
      </c>
      <c r="J66" s="194">
        <f t="shared" si="6"/>
        <v>22815</v>
      </c>
      <c r="K66" s="194">
        <f t="shared" si="6"/>
        <v>28357</v>
      </c>
      <c r="L66" s="194">
        <f t="shared" si="6"/>
        <v>32975</v>
      </c>
      <c r="M66" s="194">
        <f t="shared" si="6"/>
        <v>37300</v>
      </c>
      <c r="N66" s="194">
        <f t="shared" si="6"/>
        <v>40542</v>
      </c>
      <c r="O66" s="194">
        <f aca="true" t="shared" si="7" ref="O66:AM66">ROUND($C$66*O65,0)</f>
        <v>43436</v>
      </c>
      <c r="P66" s="194">
        <f t="shared" si="7"/>
        <v>45677</v>
      </c>
      <c r="Q66" s="194">
        <f t="shared" si="7"/>
        <v>47212</v>
      </c>
      <c r="R66" s="194">
        <f t="shared" si="7"/>
        <v>49066</v>
      </c>
      <c r="S66" s="194">
        <f t="shared" si="7"/>
        <v>50501</v>
      </c>
      <c r="T66" s="194">
        <f t="shared" si="7"/>
        <v>51625</v>
      </c>
      <c r="U66" s="194">
        <f t="shared" si="7"/>
        <v>52814</v>
      </c>
      <c r="V66" s="194">
        <f t="shared" si="7"/>
        <v>53359</v>
      </c>
      <c r="W66" s="194">
        <f t="shared" si="7"/>
        <v>53913</v>
      </c>
      <c r="X66" s="194">
        <f t="shared" si="7"/>
        <v>54563</v>
      </c>
      <c r="Y66" s="194">
        <f t="shared" si="7"/>
        <v>54922</v>
      </c>
      <c r="Z66" s="194">
        <f t="shared" si="7"/>
        <v>55298</v>
      </c>
      <c r="AA66" s="194">
        <f t="shared" si="7"/>
        <v>55477</v>
      </c>
      <c r="AB66" s="194">
        <f t="shared" si="7"/>
        <v>55647</v>
      </c>
      <c r="AC66" s="194">
        <f t="shared" si="7"/>
        <v>55773</v>
      </c>
      <c r="AD66" s="194">
        <f t="shared" si="7"/>
        <v>55852</v>
      </c>
      <c r="AE66" s="194">
        <f t="shared" si="7"/>
        <v>56005</v>
      </c>
      <c r="AF66" s="194">
        <f t="shared" si="7"/>
        <v>56121</v>
      </c>
      <c r="AG66" s="194">
        <f t="shared" si="7"/>
        <v>56165</v>
      </c>
      <c r="AH66" s="194">
        <f t="shared" si="7"/>
        <v>56219</v>
      </c>
      <c r="AI66" s="194">
        <f t="shared" si="7"/>
        <v>56249</v>
      </c>
      <c r="AJ66" s="194">
        <f t="shared" si="7"/>
        <v>56249</v>
      </c>
      <c r="AK66" s="194">
        <f t="shared" si="7"/>
        <v>56249</v>
      </c>
      <c r="AL66" s="194">
        <f t="shared" si="7"/>
        <v>56249</v>
      </c>
      <c r="AM66" s="194">
        <f t="shared" si="7"/>
        <v>56250</v>
      </c>
      <c r="AO66" s="190"/>
      <c r="AP66" s="190"/>
      <c r="AZ66" s="153"/>
      <c r="BA66" s="195"/>
    </row>
    <row r="67" spans="2:3" ht="12.75">
      <c r="B67" s="155" t="s">
        <v>197</v>
      </c>
      <c r="C67" s="155" t="s">
        <v>243</v>
      </c>
    </row>
    <row r="68" ht="12.75">
      <c r="C68" s="155" t="s">
        <v>204</v>
      </c>
    </row>
    <row r="69" spans="3:39" ht="12.75">
      <c r="C69" s="188"/>
      <c r="D69" s="155">
        <v>1</v>
      </c>
      <c r="E69" s="155">
        <v>2</v>
      </c>
      <c r="F69" s="155">
        <v>3</v>
      </c>
      <c r="G69" s="155">
        <v>4</v>
      </c>
      <c r="H69" s="155">
        <v>5</v>
      </c>
      <c r="I69" s="155">
        <v>6</v>
      </c>
      <c r="J69" s="155">
        <v>7</v>
      </c>
      <c r="K69" s="155">
        <v>8</v>
      </c>
      <c r="L69" s="155">
        <v>9</v>
      </c>
      <c r="M69" s="155">
        <v>10</v>
      </c>
      <c r="N69" s="155">
        <v>11</v>
      </c>
      <c r="O69" s="155">
        <v>12</v>
      </c>
      <c r="P69" s="155">
        <v>13</v>
      </c>
      <c r="Q69" s="155">
        <v>14</v>
      </c>
      <c r="R69" s="155">
        <v>15</v>
      </c>
      <c r="S69" s="155">
        <v>16</v>
      </c>
      <c r="T69" s="155">
        <v>17</v>
      </c>
      <c r="U69" s="155">
        <v>18</v>
      </c>
      <c r="V69" s="155">
        <v>19</v>
      </c>
      <c r="W69" s="155">
        <v>20</v>
      </c>
      <c r="X69" s="155">
        <v>21</v>
      </c>
      <c r="Y69" s="155">
        <v>22</v>
      </c>
      <c r="Z69" s="155">
        <v>23</v>
      </c>
      <c r="AA69" s="155">
        <v>24</v>
      </c>
      <c r="AB69" s="155">
        <v>25</v>
      </c>
      <c r="AC69" s="155">
        <v>26</v>
      </c>
      <c r="AD69" s="155">
        <v>27</v>
      </c>
      <c r="AE69" s="155">
        <v>28</v>
      </c>
      <c r="AF69" s="155">
        <v>29</v>
      </c>
      <c r="AG69" s="155">
        <v>30</v>
      </c>
      <c r="AH69" s="155">
        <v>31</v>
      </c>
      <c r="AI69" s="155">
        <v>32</v>
      </c>
      <c r="AJ69" s="155">
        <v>33</v>
      </c>
      <c r="AK69" s="155">
        <v>34</v>
      </c>
      <c r="AL69" s="155">
        <v>35</v>
      </c>
      <c r="AM69" s="155">
        <v>36</v>
      </c>
    </row>
    <row r="70" spans="3:4" ht="12.75">
      <c r="C70" s="193"/>
      <c r="D70" s="189"/>
    </row>
    <row r="71" spans="2:53" ht="12.75">
      <c r="B71" s="155" t="s">
        <v>199</v>
      </c>
      <c r="C71" s="188"/>
      <c r="D71" s="191">
        <f aca="true" ca="1" t="shared" si="8" ref="D71:AM71">IF($D$76=0,D63,OFFSET(D63,0,$D$78))</f>
        <v>0.0067832825612207295</v>
      </c>
      <c r="E71" s="191">
        <f ca="1" t="shared" si="8"/>
        <v>0.017266262632013824</v>
      </c>
      <c r="F71" s="191">
        <f ca="1" t="shared" si="8"/>
        <v>0.04370868063158661</v>
      </c>
      <c r="G71" s="191">
        <f ca="1" t="shared" si="8"/>
        <v>0.0706961159825445</v>
      </c>
      <c r="H71" s="191">
        <f ca="1" t="shared" si="8"/>
        <v>0.10230445379069386</v>
      </c>
      <c r="I71" s="191">
        <f ca="1" t="shared" si="8"/>
        <v>0.08088584820617198</v>
      </c>
      <c r="J71" s="191">
        <f ca="1" t="shared" si="8"/>
        <v>0.08395779018111518</v>
      </c>
      <c r="K71" s="191">
        <f ca="1" t="shared" si="8"/>
        <v>0.0985222567665333</v>
      </c>
      <c r="L71" s="191">
        <f ca="1" t="shared" si="8"/>
        <v>0.08210183708031035</v>
      </c>
      <c r="M71" s="191">
        <f ca="1" t="shared" si="8"/>
        <v>0.07688259299950209</v>
      </c>
      <c r="N71" s="191">
        <f ca="1" t="shared" si="8"/>
        <v>0.05763527997648047</v>
      </c>
      <c r="O71" s="191">
        <f ca="1" t="shared" si="8"/>
        <v>0.051454276049260055</v>
      </c>
      <c r="P71" s="191">
        <f ca="1" t="shared" si="8"/>
        <v>0.039844121480680714</v>
      </c>
      <c r="Q71" s="191">
        <f ca="1" t="shared" si="8"/>
        <v>0.027278643173474337</v>
      </c>
      <c r="R71" s="191">
        <f ca="1" t="shared" si="8"/>
        <v>0.03295986358398216</v>
      </c>
      <c r="S71" s="191">
        <f ca="1" t="shared" si="8"/>
        <v>0.025508656148982036</v>
      </c>
      <c r="T71" s="191">
        <f ca="1" t="shared" si="8"/>
        <v>0.019994720558603542</v>
      </c>
      <c r="U71" s="191">
        <f ca="1" t="shared" si="8"/>
        <v>0.021122472678712895</v>
      </c>
      <c r="V71" s="191">
        <f ca="1" t="shared" si="8"/>
        <v>0.00970284160893242</v>
      </c>
      <c r="W71" s="191">
        <f ca="1" t="shared" si="8"/>
        <v>0.009839993012433166</v>
      </c>
      <c r="X71" s="191">
        <f ca="1" t="shared" si="8"/>
        <v>0.01156587832627011</v>
      </c>
      <c r="Y71" s="191">
        <f ca="1" t="shared" si="8"/>
        <v>0.006381611978903371</v>
      </c>
      <c r="Z71" s="191">
        <f ca="1" t="shared" si="8"/>
        <v>0.006669808628391655</v>
      </c>
      <c r="AA71" s="191">
        <f ca="1" t="shared" si="8"/>
        <v>0.0031913471646151325</v>
      </c>
      <c r="AB71" s="191">
        <f ca="1" t="shared" si="8"/>
        <v>0.0030134629949368826</v>
      </c>
      <c r="AC71" s="191">
        <f ca="1" t="shared" si="8"/>
        <v>0.002251108779970987</v>
      </c>
      <c r="AD71" s="191">
        <f ca="1" t="shared" si="8"/>
        <v>0.0014020233729024614</v>
      </c>
      <c r="AE71" s="191">
        <f ca="1" t="shared" si="8"/>
        <v>0.0027277480470560703</v>
      </c>
      <c r="AF71" s="191">
        <f ca="1" t="shared" si="8"/>
        <v>0.0020623558492734997</v>
      </c>
      <c r="AG71" s="191">
        <f ca="1" t="shared" si="8"/>
        <v>0.0007662376692521407</v>
      </c>
      <c r="AH71" s="191">
        <f ca="1" t="shared" si="8"/>
        <v>0.0009740961485856631</v>
      </c>
      <c r="AI71" s="191">
        <f ca="1" t="shared" si="8"/>
        <v>0.0005219834513320367</v>
      </c>
      <c r="AJ71" s="191">
        <f ca="1" t="shared" si="8"/>
        <v>0</v>
      </c>
      <c r="AK71" s="191">
        <f ca="1" t="shared" si="8"/>
        <v>0</v>
      </c>
      <c r="AL71" s="191">
        <f ca="1" t="shared" si="8"/>
        <v>0</v>
      </c>
      <c r="AM71" s="191">
        <f ca="1" t="shared" si="8"/>
        <v>2.2348485275778315E-05</v>
      </c>
      <c r="AZ71" s="189"/>
      <c r="BA71" s="189"/>
    </row>
    <row r="72" spans="2:53" ht="12.75">
      <c r="B72" s="155" t="e">
        <f>"Loss Rate "&amp;Assumptions!#REF!&amp;" Old Notes"</f>
        <v>#REF!</v>
      </c>
      <c r="C72" s="188"/>
      <c r="D72" s="191">
        <f>Assumptions!$C$30*D71</f>
        <v>0</v>
      </c>
      <c r="E72" s="191">
        <f>Assumptions!$C$30*E71</f>
        <v>0</v>
      </c>
      <c r="F72" s="191">
        <f>Assumptions!$C$30*F71</f>
        <v>0</v>
      </c>
      <c r="G72" s="191">
        <f>Assumptions!$C$30*G71</f>
        <v>0</v>
      </c>
      <c r="H72" s="191">
        <f>Assumptions!$C$30*H71</f>
        <v>0</v>
      </c>
      <c r="I72" s="191">
        <f>Assumptions!$C$30*I71</f>
        <v>0</v>
      </c>
      <c r="J72" s="191">
        <f>Assumptions!$C$30*J71</f>
        <v>0</v>
      </c>
      <c r="K72" s="191">
        <f>Assumptions!$C$30*K71</f>
        <v>0</v>
      </c>
      <c r="L72" s="191">
        <f>Assumptions!$C$30*L71</f>
        <v>0</v>
      </c>
      <c r="M72" s="191">
        <f>Assumptions!$C$30*M71</f>
        <v>0</v>
      </c>
      <c r="N72" s="191">
        <f>Assumptions!$C$30*N71</f>
        <v>0</v>
      </c>
      <c r="O72" s="191">
        <f>Assumptions!$C$30*O71</f>
        <v>0</v>
      </c>
      <c r="P72" s="191">
        <f>Assumptions!$C$30*P71</f>
        <v>0</v>
      </c>
      <c r="Q72" s="191">
        <f>Assumptions!$C$30*Q71</f>
        <v>0</v>
      </c>
      <c r="R72" s="191">
        <f>Assumptions!$C$30*R71</f>
        <v>0</v>
      </c>
      <c r="S72" s="191">
        <f>Assumptions!$C$30*S71</f>
        <v>0</v>
      </c>
      <c r="T72" s="191">
        <f>Assumptions!$C$30*T71</f>
        <v>0</v>
      </c>
      <c r="U72" s="191">
        <f>Assumptions!$C$30*U71</f>
        <v>0</v>
      </c>
      <c r="V72" s="191">
        <f>Assumptions!$C$30*V71</f>
        <v>0</v>
      </c>
      <c r="W72" s="191">
        <f>Assumptions!$C$30*W71</f>
        <v>0</v>
      </c>
      <c r="X72" s="191">
        <f>Assumptions!$C$30*X71</f>
        <v>0</v>
      </c>
      <c r="Y72" s="191">
        <f>Assumptions!$C$30*Y71</f>
        <v>0</v>
      </c>
      <c r="Z72" s="191">
        <f>Assumptions!$C$30*Z71</f>
        <v>0</v>
      </c>
      <c r="AA72" s="191">
        <f>Assumptions!$C$30*AA71</f>
        <v>0</v>
      </c>
      <c r="AB72" s="191">
        <f>Assumptions!$C$30*AB71</f>
        <v>0</v>
      </c>
      <c r="AC72" s="191">
        <f>Assumptions!$C$30*AC71</f>
        <v>0</v>
      </c>
      <c r="AD72" s="191">
        <f>Assumptions!$C$30*AD71</f>
        <v>0</v>
      </c>
      <c r="AE72" s="191">
        <f>Assumptions!$C$30*AE71</f>
        <v>0</v>
      </c>
      <c r="AF72" s="191">
        <f>Assumptions!$C$30*AF71</f>
        <v>0</v>
      </c>
      <c r="AG72" s="191">
        <f>Assumptions!$C$30*AG71</f>
        <v>0</v>
      </c>
      <c r="AH72" s="191">
        <f>Assumptions!$C$30*AH71</f>
        <v>0</v>
      </c>
      <c r="AI72" s="191">
        <f>Assumptions!$C$30*AI71</f>
        <v>0</v>
      </c>
      <c r="AJ72" s="191">
        <f>Assumptions!$C$30*AJ71</f>
        <v>0</v>
      </c>
      <c r="AK72" s="191">
        <f>Assumptions!$C$30*AK71</f>
        <v>0</v>
      </c>
      <c r="AL72" s="191">
        <f>Assumptions!$C$30*AL71</f>
        <v>0</v>
      </c>
      <c r="AM72" s="191">
        <f>Assumptions!$C$30*AM71</f>
        <v>0</v>
      </c>
      <c r="AZ72" s="189"/>
      <c r="BA72" s="189"/>
    </row>
    <row r="73" spans="2:39" ht="12.75">
      <c r="B73" s="155" t="e">
        <f>Assumptions!#REF!</f>
        <v>#REF!</v>
      </c>
      <c r="C73" s="196">
        <f>Assumptions!$C$32</f>
        <v>0</v>
      </c>
      <c r="D73" s="194">
        <f>ROUND($C$73*D72,0)</f>
        <v>0</v>
      </c>
      <c r="E73" s="194">
        <f>ROUND($C$73*E72,0)</f>
        <v>0</v>
      </c>
      <c r="F73" s="194">
        <f aca="true" t="shared" si="9" ref="F73:K73">ROUND($C$73*F72,0)</f>
        <v>0</v>
      </c>
      <c r="G73" s="194">
        <f t="shared" si="9"/>
        <v>0</v>
      </c>
      <c r="H73" s="194">
        <f t="shared" si="9"/>
        <v>0</v>
      </c>
      <c r="I73" s="194">
        <f t="shared" si="9"/>
        <v>0</v>
      </c>
      <c r="J73" s="194">
        <f t="shared" si="9"/>
        <v>0</v>
      </c>
      <c r="K73" s="194">
        <f t="shared" si="9"/>
        <v>0</v>
      </c>
      <c r="L73" s="194">
        <f aca="true" t="shared" si="10" ref="L73:AM73">ROUND($C$73*L72,0)</f>
        <v>0</v>
      </c>
      <c r="M73" s="194">
        <f t="shared" si="10"/>
        <v>0</v>
      </c>
      <c r="N73" s="194">
        <f t="shared" si="10"/>
        <v>0</v>
      </c>
      <c r="O73" s="194">
        <f t="shared" si="10"/>
        <v>0</v>
      </c>
      <c r="P73" s="194">
        <f t="shared" si="10"/>
        <v>0</v>
      </c>
      <c r="Q73" s="194">
        <f t="shared" si="10"/>
        <v>0</v>
      </c>
      <c r="R73" s="194">
        <f t="shared" si="10"/>
        <v>0</v>
      </c>
      <c r="S73" s="194">
        <f t="shared" si="10"/>
        <v>0</v>
      </c>
      <c r="T73" s="194">
        <f t="shared" si="10"/>
        <v>0</v>
      </c>
      <c r="U73" s="194">
        <f t="shared" si="10"/>
        <v>0</v>
      </c>
      <c r="V73" s="194">
        <f t="shared" si="10"/>
        <v>0</v>
      </c>
      <c r="W73" s="194">
        <f t="shared" si="10"/>
        <v>0</v>
      </c>
      <c r="X73" s="194">
        <f t="shared" si="10"/>
        <v>0</v>
      </c>
      <c r="Y73" s="194">
        <f t="shared" si="10"/>
        <v>0</v>
      </c>
      <c r="Z73" s="194">
        <f t="shared" si="10"/>
        <v>0</v>
      </c>
      <c r="AA73" s="194">
        <f t="shared" si="10"/>
        <v>0</v>
      </c>
      <c r="AB73" s="194">
        <f t="shared" si="10"/>
        <v>0</v>
      </c>
      <c r="AC73" s="194">
        <f t="shared" si="10"/>
        <v>0</v>
      </c>
      <c r="AD73" s="194">
        <f t="shared" si="10"/>
        <v>0</v>
      </c>
      <c r="AE73" s="194">
        <f t="shared" si="10"/>
        <v>0</v>
      </c>
      <c r="AF73" s="194">
        <f t="shared" si="10"/>
        <v>0</v>
      </c>
      <c r="AG73" s="194">
        <f t="shared" si="10"/>
        <v>0</v>
      </c>
      <c r="AH73" s="194">
        <f t="shared" si="10"/>
        <v>0</v>
      </c>
      <c r="AI73" s="194">
        <f t="shared" si="10"/>
        <v>0</v>
      </c>
      <c r="AJ73" s="194">
        <f t="shared" si="10"/>
        <v>0</v>
      </c>
      <c r="AK73" s="194">
        <f t="shared" si="10"/>
        <v>0</v>
      </c>
      <c r="AL73" s="194">
        <f t="shared" si="10"/>
        <v>0</v>
      </c>
      <c r="AM73" s="194">
        <f t="shared" si="10"/>
        <v>0</v>
      </c>
    </row>
    <row r="74" spans="2:36" ht="12.75">
      <c r="B74" s="155" t="s">
        <v>198</v>
      </c>
      <c r="C74" s="155" t="s">
        <v>200</v>
      </c>
      <c r="Z74" s="190"/>
      <c r="AJ74" s="190"/>
    </row>
    <row r="76" spans="3:4" ht="12.75">
      <c r="C76" s="155" t="s">
        <v>258</v>
      </c>
      <c r="D76" s="155">
        <f>IF(Assumptions!$C$34=0,0,ROUND(Assumptions!$C$31/Assumptions!$C$34,0))</f>
        <v>0</v>
      </c>
    </row>
    <row r="77" ht="12.75">
      <c r="C77" s="155" t="s">
        <v>259</v>
      </c>
    </row>
    <row r="78" spans="3:4" ht="12.75">
      <c r="C78" s="155" t="s">
        <v>260</v>
      </c>
      <c r="D78" s="155">
        <f>AM69-IF(Assumptions!$C$34=0,0,ROUND(Assumptions!$C$31/Assumptions!$C$34,0))</f>
        <v>36</v>
      </c>
    </row>
    <row r="79" ht="12.75">
      <c r="D79" s="191"/>
    </row>
    <row r="80" spans="5:6" ht="12.75">
      <c r="E80" s="189"/>
      <c r="F80" s="189"/>
    </row>
  </sheetData>
  <sheetProtection password="C7CE" sheet="1" objects="1" scenarios="1" selectLockedCells="1" selectUnlockedCells="1"/>
  <mergeCells count="3">
    <mergeCell ref="B1:AZ1"/>
    <mergeCell ref="B2:AZ2"/>
    <mergeCell ref="B6:AZ6"/>
  </mergeCells>
  <printOptions/>
  <pageMargins left="0.5" right="0.5" top="1" bottom="0.75" header="0.5" footer="0.5"/>
  <pageSetup fitToWidth="2" fitToHeight="1" horizontalDpi="300" verticalDpi="300" orientation="landscape" scale="44" r:id="rId1"/>
  <headerFooter alignWithMargins="0">
    <oddHeader>&amp;C&amp;24Loss Analysis
Net Loss Dollars</oddHeader>
    <oddFooter>&amp;C12B</oddFooter>
  </headerFooter>
  <rowBreaks count="4" manualBreakCount="4">
    <brk id="61" max="255" man="1"/>
    <brk id="94" max="255" man="1"/>
    <brk id="123" max="255" man="1"/>
    <brk id="152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StevenCWin7</dc:creator>
  <cp:keywords/>
  <dc:description/>
  <cp:lastModifiedBy>StevenC</cp:lastModifiedBy>
  <cp:lastPrinted>2011-04-25T18:05:25Z</cp:lastPrinted>
  <dcterms:created xsi:type="dcterms:W3CDTF">2002-10-17T14:18:50Z</dcterms:created>
  <dcterms:modified xsi:type="dcterms:W3CDTF">2016-07-15T18:08:54Z</dcterms:modified>
  <cp:category/>
  <cp:version/>
  <cp:contentType/>
  <cp:contentStatus/>
</cp:coreProperties>
</file>